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笔试成绩" sheetId="1" r:id="rId1"/>
  </sheets>
  <definedNames>
    <definedName name="_xlnm._FilterDatabase" localSheetId="0" hidden="1">笔试成绩!$A$3:$J$544</definedName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<sst xmlns="http://schemas.openxmlformats.org/spreadsheetml/2006/main" count="1879" uniqueCount="59">
  <si>
    <t>附件1</t>
  </si>
  <si>
    <t>沙市区2022年第二批事业单位人才引进笔试成绩</t>
  </si>
  <si>
    <t>序号</t>
  </si>
  <si>
    <t>招聘单位主管部门</t>
  </si>
  <si>
    <t>招聘单位</t>
  </si>
  <si>
    <t>岗位代码</t>
  </si>
  <si>
    <t>招聘
计划</t>
  </si>
  <si>
    <t>岗位名称</t>
  </si>
  <si>
    <t>姓名</t>
  </si>
  <si>
    <t>准考证号</t>
  </si>
  <si>
    <t>笔试成绩</t>
  </si>
  <si>
    <t>备注</t>
  </si>
  <si>
    <t>共青团荆州市沙市区委员会</t>
  </si>
  <si>
    <t>沙市区青年志愿者行动指导中心</t>
  </si>
  <si>
    <t>工作人员</t>
  </si>
  <si>
    <t>缺考</t>
  </si>
  <si>
    <t>沙市区政府直属事业单位</t>
  </si>
  <si>
    <t>区群众工作服务中心</t>
  </si>
  <si>
    <t>区财政局</t>
  </si>
  <si>
    <t>沙市区财政局观音垱财政所</t>
  </si>
  <si>
    <t>荆州市沙市区审计局</t>
  </si>
  <si>
    <t>荆州市沙市区审计服务中心</t>
  </si>
  <si>
    <t>荆州市沙市区
司法局</t>
  </si>
  <si>
    <t>荆州市沙市区
法律援助中心</t>
  </si>
  <si>
    <t>沙市区人力资源和社会保障局</t>
  </si>
  <si>
    <t>沙市区人力资源和社会保障信息中心</t>
  </si>
  <si>
    <t>沙市区住房和城乡建设局</t>
  </si>
  <si>
    <t>沙市区政府投资工程建设管理中心</t>
  </si>
  <si>
    <t>沙市区卫生健康局</t>
  </si>
  <si>
    <t>沙市区卫生健康服务中心</t>
  </si>
  <si>
    <t>荆州市沙市区经济和信息化局</t>
  </si>
  <si>
    <t>沙市区工业经济发展中心</t>
  </si>
  <si>
    <t>沙市区水利和湖泊局</t>
  </si>
  <si>
    <t>沙市区水利和湖泊事务服务中心</t>
  </si>
  <si>
    <t>沙市区农业农村局</t>
  </si>
  <si>
    <t>沙市区农业技术推广中心</t>
  </si>
  <si>
    <t>沙市区市场监督管理局</t>
  </si>
  <si>
    <t>沙市区消费者权益保护中心</t>
  </si>
  <si>
    <t>沙市区市场网络交易监测服务中心</t>
  </si>
  <si>
    <t>荆州市沙市区城市管理执法局</t>
  </si>
  <si>
    <t>荆州市沙市区城市管理服务中心</t>
  </si>
  <si>
    <t>沙市区医疗保障局</t>
  </si>
  <si>
    <t>沙市区医疗保障服务中心</t>
  </si>
  <si>
    <t>沙市区教育局</t>
  </si>
  <si>
    <t>区教育科学研究院</t>
  </si>
  <si>
    <t>沙市区人民政府中山路街道办事处</t>
  </si>
  <si>
    <t>沙市区中山路街道党群服务中心</t>
  </si>
  <si>
    <t>沙市区人民政府胜利街街道办事处</t>
  </si>
  <si>
    <t>沙市区胜利街道党群服务中心</t>
  </si>
  <si>
    <t>荆州市沙市区人民政府朝阳路街道办事处</t>
  </si>
  <si>
    <t>荆州市沙市区朝阳路街道党群服务中心</t>
  </si>
  <si>
    <t>沙市区人民政府立新街道办事处</t>
  </si>
  <si>
    <t>荆州市沙市区立新街道党群服务中心</t>
  </si>
  <si>
    <t>湖北沙市经济开发区管理委员会</t>
  </si>
  <si>
    <t xml:space="preserve">湖北沙市经济开发区（荆州市沙市区锣场镇）招商引资服务中心 </t>
  </si>
  <si>
    <t>沙市区疾病预防控制中心</t>
  </si>
  <si>
    <t>临床公卫岗</t>
  </si>
  <si>
    <t>违反考试规定，在试卷上做标记，
取消考试成绩</t>
  </si>
  <si>
    <t>综合管理岗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</si>
</sst>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4"/>
  <sheetViews>
    <sheetView tabSelected="1" workbookViewId="0">
      <pane ySplit="3" topLeftCell="A531" activePane="bottomLeft" state="frozen"/>
      <selection/>
      <selection pane="bottomLeft" activeCell="J543" sqref="J543"/>
    </sheetView>
  </sheetViews>
  <sheetFormatPr defaultColWidth="9" defaultRowHeight="14.4"/>
  <cols>
    <col min="1" max="1" width="6.33333333333333" style="2" customWidth="1"/>
    <col min="2" max="2" width="41.1111111111111" style="2" customWidth="1"/>
    <col min="3" max="3" width="58.2222222222222" style="2" customWidth="1"/>
    <col min="4" max="4" width="15" style="2" customWidth="1"/>
    <col min="5" max="5" width="7" style="2" customWidth="1"/>
    <col min="6" max="6" width="10.8888888888889" style="2" customWidth="1"/>
    <col min="7" max="7" width="10.6666666666667" style="2" customWidth="1"/>
    <col min="8" max="8" width="12.4444444444444" style="2" customWidth="1"/>
    <col min="9" max="9" width="13.2222222222222" style="2" customWidth="1"/>
    <col min="10" max="10" width="32.2222222222222" style="2" customWidth="1"/>
    <col min="11" max="12" width="12.8148148148148"/>
  </cols>
  <sheetData>
    <row r="1" spans="1:2">
      <c r="A1" s="3" t="s">
        <v>0</v>
      </c>
      <c r="B1" s="3"/>
    </row>
    <row r="2" ht="4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8.8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spans="1:10">
      <c r="A4" s="5">
        <v>1</v>
      </c>
      <c r="B4" s="5" t="s">
        <v>12</v>
      </c>
      <c r="C4" s="5" t="s">
        <v>13</v>
      </c>
      <c r="D4" s="5" t="str">
        <f t="shared" ref="D4:D25" si="0">"20220201001"</f>
        <v>20220201001</v>
      </c>
      <c r="E4" s="5">
        <v>1</v>
      </c>
      <c r="F4" s="5" t="s">
        <v>14</v>
      </c>
      <c r="G4" s="5" t="str">
        <f>"杨柳"</f>
        <v>杨柳</v>
      </c>
      <c r="H4" s="5" t="str">
        <f>"112001201"</f>
        <v>112001201</v>
      </c>
      <c r="I4" s="5">
        <v>116.64</v>
      </c>
      <c r="J4" s="5"/>
    </row>
    <row r="5" s="1" customFormat="1" spans="1:10">
      <c r="A5" s="5">
        <v>2</v>
      </c>
      <c r="B5" s="5" t="s">
        <v>12</v>
      </c>
      <c r="C5" s="5" t="s">
        <v>13</v>
      </c>
      <c r="D5" s="5" t="str">
        <f t="shared" si="0"/>
        <v>20220201001</v>
      </c>
      <c r="E5" s="5">
        <v>1</v>
      </c>
      <c r="F5" s="5" t="s">
        <v>14</v>
      </c>
      <c r="G5" s="5" t="str">
        <f>"谭惠云"</f>
        <v>谭惠云</v>
      </c>
      <c r="H5" s="5" t="str">
        <f>"112000616"</f>
        <v>112000616</v>
      </c>
      <c r="I5" s="5">
        <v>116.56</v>
      </c>
      <c r="J5" s="5"/>
    </row>
    <row r="6" s="1" customFormat="1" spans="1:10">
      <c r="A6" s="5">
        <v>3</v>
      </c>
      <c r="B6" s="5" t="s">
        <v>12</v>
      </c>
      <c r="C6" s="5" t="s">
        <v>13</v>
      </c>
      <c r="D6" s="5" t="str">
        <f t="shared" si="0"/>
        <v>20220201001</v>
      </c>
      <c r="E6" s="5">
        <v>1</v>
      </c>
      <c r="F6" s="5" t="s">
        <v>14</v>
      </c>
      <c r="G6" s="5" t="str">
        <f>"张月宇"</f>
        <v>张月宇</v>
      </c>
      <c r="H6" s="5" t="str">
        <f>"112001017"</f>
        <v>112001017</v>
      </c>
      <c r="I6" s="5">
        <v>108.16</v>
      </c>
      <c r="J6" s="5"/>
    </row>
    <row r="7" s="1" customFormat="1" spans="1:10">
      <c r="A7" s="5">
        <v>4</v>
      </c>
      <c r="B7" s="5" t="s">
        <v>12</v>
      </c>
      <c r="C7" s="5" t="s">
        <v>13</v>
      </c>
      <c r="D7" s="5" t="str">
        <f t="shared" si="0"/>
        <v>20220201001</v>
      </c>
      <c r="E7" s="5">
        <v>1</v>
      </c>
      <c r="F7" s="5" t="s">
        <v>14</v>
      </c>
      <c r="G7" s="5" t="str">
        <f>"范聪"</f>
        <v>范聪</v>
      </c>
      <c r="H7" s="5" t="str">
        <f>"112000302"</f>
        <v>112000302</v>
      </c>
      <c r="I7" s="5">
        <v>98.08</v>
      </c>
      <c r="J7" s="5"/>
    </row>
    <row r="8" s="1" customFormat="1" spans="1:10">
      <c r="A8" s="5">
        <v>5</v>
      </c>
      <c r="B8" s="5" t="s">
        <v>12</v>
      </c>
      <c r="C8" s="5" t="s">
        <v>13</v>
      </c>
      <c r="D8" s="5" t="str">
        <f t="shared" si="0"/>
        <v>20220201001</v>
      </c>
      <c r="E8" s="5">
        <v>1</v>
      </c>
      <c r="F8" s="5" t="s">
        <v>14</v>
      </c>
      <c r="G8" s="5" t="str">
        <f>"刘明宇"</f>
        <v>刘明宇</v>
      </c>
      <c r="H8" s="5" t="str">
        <f>"112001603"</f>
        <v>112001603</v>
      </c>
      <c r="I8" s="5">
        <v>95.08</v>
      </c>
      <c r="J8" s="5"/>
    </row>
    <row r="9" s="1" customFormat="1" spans="1:10">
      <c r="A9" s="5">
        <v>6</v>
      </c>
      <c r="B9" s="5" t="s">
        <v>12</v>
      </c>
      <c r="C9" s="5" t="s">
        <v>13</v>
      </c>
      <c r="D9" s="5" t="str">
        <f t="shared" si="0"/>
        <v>20220201001</v>
      </c>
      <c r="E9" s="5">
        <v>1</v>
      </c>
      <c r="F9" s="5" t="s">
        <v>14</v>
      </c>
      <c r="G9" s="5" t="str">
        <f>"黄文静"</f>
        <v>黄文静</v>
      </c>
      <c r="H9" s="5" t="str">
        <f>"112001717"</f>
        <v>112001717</v>
      </c>
      <c r="I9" s="5">
        <v>94.24</v>
      </c>
      <c r="J9" s="5"/>
    </row>
    <row r="10" s="1" customFormat="1" spans="1:10">
      <c r="A10" s="5">
        <v>7</v>
      </c>
      <c r="B10" s="5" t="s">
        <v>12</v>
      </c>
      <c r="C10" s="5" t="s">
        <v>13</v>
      </c>
      <c r="D10" s="5" t="str">
        <f t="shared" si="0"/>
        <v>20220201001</v>
      </c>
      <c r="E10" s="5">
        <v>1</v>
      </c>
      <c r="F10" s="5" t="s">
        <v>14</v>
      </c>
      <c r="G10" s="5" t="str">
        <f>"胡艺可"</f>
        <v>胡艺可</v>
      </c>
      <c r="H10" s="5" t="str">
        <f>"112000219"</f>
        <v>112000219</v>
      </c>
      <c r="I10" s="5">
        <v>92.32</v>
      </c>
      <c r="J10" s="5"/>
    </row>
    <row r="11" s="1" customFormat="1" spans="1:10">
      <c r="A11" s="5">
        <v>8</v>
      </c>
      <c r="B11" s="5" t="s">
        <v>12</v>
      </c>
      <c r="C11" s="5" t="s">
        <v>13</v>
      </c>
      <c r="D11" s="5" t="str">
        <f t="shared" si="0"/>
        <v>20220201001</v>
      </c>
      <c r="E11" s="5">
        <v>1</v>
      </c>
      <c r="F11" s="5" t="s">
        <v>14</v>
      </c>
      <c r="G11" s="5" t="str">
        <f>"杨月"</f>
        <v>杨月</v>
      </c>
      <c r="H11" s="5" t="str">
        <f>"112000207"</f>
        <v>112000207</v>
      </c>
      <c r="I11" s="5">
        <v>91.8</v>
      </c>
      <c r="J11" s="5"/>
    </row>
    <row r="12" s="1" customFormat="1" spans="1:10">
      <c r="A12" s="5">
        <v>9</v>
      </c>
      <c r="B12" s="5" t="s">
        <v>12</v>
      </c>
      <c r="C12" s="5" t="s">
        <v>13</v>
      </c>
      <c r="D12" s="5" t="str">
        <f t="shared" si="0"/>
        <v>20220201001</v>
      </c>
      <c r="E12" s="5">
        <v>1</v>
      </c>
      <c r="F12" s="5" t="s">
        <v>14</v>
      </c>
      <c r="G12" s="5" t="str">
        <f>"杨梓妤"</f>
        <v>杨梓妤</v>
      </c>
      <c r="H12" s="5" t="str">
        <f>"112001018"</f>
        <v>112001018</v>
      </c>
      <c r="I12" s="5">
        <v>90.8</v>
      </c>
      <c r="J12" s="5"/>
    </row>
    <row r="13" s="1" customFormat="1" spans="1:10">
      <c r="A13" s="5">
        <v>10</v>
      </c>
      <c r="B13" s="5" t="s">
        <v>12</v>
      </c>
      <c r="C13" s="5" t="s">
        <v>13</v>
      </c>
      <c r="D13" s="5" t="str">
        <f t="shared" si="0"/>
        <v>20220201001</v>
      </c>
      <c r="E13" s="5">
        <v>1</v>
      </c>
      <c r="F13" s="5" t="s">
        <v>14</v>
      </c>
      <c r="G13" s="5" t="str">
        <f>"汪旭"</f>
        <v>汪旭</v>
      </c>
      <c r="H13" s="5" t="str">
        <f>"112000214"</f>
        <v>112000214</v>
      </c>
      <c r="I13" s="5">
        <v>89.04</v>
      </c>
      <c r="J13" s="5"/>
    </row>
    <row r="14" s="1" customFormat="1" spans="1:10">
      <c r="A14" s="5">
        <v>11</v>
      </c>
      <c r="B14" s="5" t="s">
        <v>12</v>
      </c>
      <c r="C14" s="5" t="s">
        <v>13</v>
      </c>
      <c r="D14" s="5" t="str">
        <f t="shared" si="0"/>
        <v>20220201001</v>
      </c>
      <c r="E14" s="5">
        <v>1</v>
      </c>
      <c r="F14" s="5" t="s">
        <v>14</v>
      </c>
      <c r="G14" s="5" t="str">
        <f>"费霏霏"</f>
        <v>费霏霏</v>
      </c>
      <c r="H14" s="5" t="str">
        <f>"112000609"</f>
        <v>112000609</v>
      </c>
      <c r="I14" s="5">
        <v>87.52</v>
      </c>
      <c r="J14" s="5"/>
    </row>
    <row r="15" s="1" customFormat="1" spans="1:10">
      <c r="A15" s="5">
        <v>12</v>
      </c>
      <c r="B15" s="5" t="s">
        <v>12</v>
      </c>
      <c r="C15" s="5" t="s">
        <v>13</v>
      </c>
      <c r="D15" s="5" t="str">
        <f t="shared" si="0"/>
        <v>20220201001</v>
      </c>
      <c r="E15" s="5">
        <v>1</v>
      </c>
      <c r="F15" s="5" t="s">
        <v>14</v>
      </c>
      <c r="G15" s="5" t="str">
        <f>"莫予诺"</f>
        <v>莫予诺</v>
      </c>
      <c r="H15" s="5" t="str">
        <f>"112001416"</f>
        <v>112001416</v>
      </c>
      <c r="I15" s="5">
        <v>86.6</v>
      </c>
      <c r="J15" s="5"/>
    </row>
    <row r="16" s="1" customFormat="1" spans="1:10">
      <c r="A16" s="5">
        <v>13</v>
      </c>
      <c r="B16" s="5" t="s">
        <v>12</v>
      </c>
      <c r="C16" s="5" t="s">
        <v>13</v>
      </c>
      <c r="D16" s="5" t="str">
        <f t="shared" si="0"/>
        <v>20220201001</v>
      </c>
      <c r="E16" s="5">
        <v>1</v>
      </c>
      <c r="F16" s="5" t="s">
        <v>14</v>
      </c>
      <c r="G16" s="5" t="str">
        <f>"曹文婧"</f>
        <v>曹文婧</v>
      </c>
      <c r="H16" s="5" t="str">
        <f>"112001202"</f>
        <v>112001202</v>
      </c>
      <c r="I16" s="5">
        <v>78.72</v>
      </c>
      <c r="J16" s="5"/>
    </row>
    <row r="17" s="1" customFormat="1" spans="1:10">
      <c r="A17" s="5">
        <v>14</v>
      </c>
      <c r="B17" s="5" t="s">
        <v>12</v>
      </c>
      <c r="C17" s="5" t="s">
        <v>13</v>
      </c>
      <c r="D17" s="5" t="str">
        <f t="shared" si="0"/>
        <v>20220201001</v>
      </c>
      <c r="E17" s="5">
        <v>1</v>
      </c>
      <c r="F17" s="5" t="s">
        <v>14</v>
      </c>
      <c r="G17" s="5" t="str">
        <f>"杨萌萌"</f>
        <v>杨萌萌</v>
      </c>
      <c r="H17" s="5" t="str">
        <f>"112001826"</f>
        <v>112001826</v>
      </c>
      <c r="I17" s="5">
        <v>75.96</v>
      </c>
      <c r="J17" s="5"/>
    </row>
    <row r="18" s="1" customFormat="1" spans="1:10">
      <c r="A18" s="5">
        <v>15</v>
      </c>
      <c r="B18" s="5" t="s">
        <v>12</v>
      </c>
      <c r="C18" s="5" t="s">
        <v>13</v>
      </c>
      <c r="D18" s="5" t="str">
        <f t="shared" si="0"/>
        <v>20220201001</v>
      </c>
      <c r="E18" s="5">
        <v>1</v>
      </c>
      <c r="F18" s="5" t="s">
        <v>14</v>
      </c>
      <c r="G18" s="5" t="str">
        <f>"尚成"</f>
        <v>尚成</v>
      </c>
      <c r="H18" s="5" t="str">
        <f>"112000320"</f>
        <v>112000320</v>
      </c>
      <c r="I18" s="5">
        <v>75.2</v>
      </c>
      <c r="J18" s="5"/>
    </row>
    <row r="19" s="1" customFormat="1" spans="1:10">
      <c r="A19" s="5">
        <v>16</v>
      </c>
      <c r="B19" s="5" t="s">
        <v>12</v>
      </c>
      <c r="C19" s="5" t="s">
        <v>13</v>
      </c>
      <c r="D19" s="5" t="str">
        <f t="shared" si="0"/>
        <v>20220201001</v>
      </c>
      <c r="E19" s="5">
        <v>1</v>
      </c>
      <c r="F19" s="5" t="s">
        <v>14</v>
      </c>
      <c r="G19" s="5" t="str">
        <f>"张瑞影"</f>
        <v>张瑞影</v>
      </c>
      <c r="H19" s="5" t="str">
        <f>"112000224"</f>
        <v>112000224</v>
      </c>
      <c r="I19" s="5">
        <v>0</v>
      </c>
      <c r="J19" s="5" t="s">
        <v>15</v>
      </c>
    </row>
    <row r="20" s="1" customFormat="1" spans="1:10">
      <c r="A20" s="5">
        <v>17</v>
      </c>
      <c r="B20" s="5" t="s">
        <v>12</v>
      </c>
      <c r="C20" s="5" t="s">
        <v>13</v>
      </c>
      <c r="D20" s="5" t="str">
        <f t="shared" si="0"/>
        <v>20220201001</v>
      </c>
      <c r="E20" s="5">
        <v>1</v>
      </c>
      <c r="F20" s="5" t="s">
        <v>14</v>
      </c>
      <c r="G20" s="5" t="str">
        <f>"胡清华"</f>
        <v>胡清华</v>
      </c>
      <c r="H20" s="5" t="str">
        <f>"112000907"</f>
        <v>112000907</v>
      </c>
      <c r="I20" s="5">
        <v>0</v>
      </c>
      <c r="J20" s="5" t="s">
        <v>15</v>
      </c>
    </row>
    <row r="21" s="1" customFormat="1" spans="1:10">
      <c r="A21" s="5">
        <v>18</v>
      </c>
      <c r="B21" s="5" t="s">
        <v>12</v>
      </c>
      <c r="C21" s="5" t="s">
        <v>13</v>
      </c>
      <c r="D21" s="5" t="str">
        <f t="shared" si="0"/>
        <v>20220201001</v>
      </c>
      <c r="E21" s="5">
        <v>1</v>
      </c>
      <c r="F21" s="5" t="s">
        <v>14</v>
      </c>
      <c r="G21" s="5" t="str">
        <f>"陈思"</f>
        <v>陈思</v>
      </c>
      <c r="H21" s="5" t="str">
        <f>"112000921"</f>
        <v>112000921</v>
      </c>
      <c r="I21" s="5">
        <v>0</v>
      </c>
      <c r="J21" s="5" t="s">
        <v>15</v>
      </c>
    </row>
    <row r="22" s="1" customFormat="1" spans="1:10">
      <c r="A22" s="5">
        <v>19</v>
      </c>
      <c r="B22" s="5" t="s">
        <v>12</v>
      </c>
      <c r="C22" s="5" t="s">
        <v>13</v>
      </c>
      <c r="D22" s="5" t="str">
        <f t="shared" si="0"/>
        <v>20220201001</v>
      </c>
      <c r="E22" s="5">
        <v>1</v>
      </c>
      <c r="F22" s="5" t="s">
        <v>14</v>
      </c>
      <c r="G22" s="5" t="str">
        <f>"冷晓佳"</f>
        <v>冷晓佳</v>
      </c>
      <c r="H22" s="5" t="str">
        <f>"112001320"</f>
        <v>112001320</v>
      </c>
      <c r="I22" s="5">
        <v>0</v>
      </c>
      <c r="J22" s="5" t="s">
        <v>15</v>
      </c>
    </row>
    <row r="23" s="1" customFormat="1" spans="1:10">
      <c r="A23" s="5">
        <v>20</v>
      </c>
      <c r="B23" s="5" t="s">
        <v>12</v>
      </c>
      <c r="C23" s="5" t="s">
        <v>13</v>
      </c>
      <c r="D23" s="5" t="str">
        <f t="shared" si="0"/>
        <v>20220201001</v>
      </c>
      <c r="E23" s="5">
        <v>1</v>
      </c>
      <c r="F23" s="5" t="s">
        <v>14</v>
      </c>
      <c r="G23" s="5" t="str">
        <f>"李珂"</f>
        <v>李珂</v>
      </c>
      <c r="H23" s="5" t="str">
        <f>"112001508"</f>
        <v>112001508</v>
      </c>
      <c r="I23" s="5">
        <v>0</v>
      </c>
      <c r="J23" s="5" t="s">
        <v>15</v>
      </c>
    </row>
    <row r="24" s="1" customFormat="1" spans="1:10">
      <c r="A24" s="5">
        <v>21</v>
      </c>
      <c r="B24" s="5" t="s">
        <v>12</v>
      </c>
      <c r="C24" s="5" t="s">
        <v>13</v>
      </c>
      <c r="D24" s="5" t="str">
        <f t="shared" si="0"/>
        <v>20220201001</v>
      </c>
      <c r="E24" s="5">
        <v>1</v>
      </c>
      <c r="F24" s="5" t="s">
        <v>14</v>
      </c>
      <c r="G24" s="5" t="str">
        <f>"别承博"</f>
        <v>别承博</v>
      </c>
      <c r="H24" s="5" t="str">
        <f>"112001514"</f>
        <v>112001514</v>
      </c>
      <c r="I24" s="5">
        <v>0</v>
      </c>
      <c r="J24" s="5" t="s">
        <v>15</v>
      </c>
    </row>
    <row r="25" s="1" customFormat="1" spans="1:10">
      <c r="A25" s="5">
        <v>22</v>
      </c>
      <c r="B25" s="5" t="s">
        <v>12</v>
      </c>
      <c r="C25" s="5" t="s">
        <v>13</v>
      </c>
      <c r="D25" s="5" t="str">
        <f t="shared" si="0"/>
        <v>20220201001</v>
      </c>
      <c r="E25" s="5">
        <v>1</v>
      </c>
      <c r="F25" s="5" t="s">
        <v>14</v>
      </c>
      <c r="G25" s="5" t="str">
        <f>"冯莞枢"</f>
        <v>冯莞枢</v>
      </c>
      <c r="H25" s="5" t="str">
        <f>"112001806"</f>
        <v>112001806</v>
      </c>
      <c r="I25" s="5">
        <v>0</v>
      </c>
      <c r="J25" s="5" t="s">
        <v>15</v>
      </c>
    </row>
    <row r="26" s="1" customFormat="1" spans="1:10">
      <c r="A26" s="5">
        <v>23</v>
      </c>
      <c r="B26" s="5" t="s">
        <v>16</v>
      </c>
      <c r="C26" s="5" t="s">
        <v>17</v>
      </c>
      <c r="D26" s="5" t="str">
        <f t="shared" ref="D26:D89" si="1">"20220202001"</f>
        <v>20220202001</v>
      </c>
      <c r="E26" s="5">
        <v>2</v>
      </c>
      <c r="F26" s="5" t="s">
        <v>14</v>
      </c>
      <c r="G26" s="5" t="str">
        <f>"陈强"</f>
        <v>陈强</v>
      </c>
      <c r="H26" s="5" t="str">
        <f>"112001227"</f>
        <v>112001227</v>
      </c>
      <c r="I26" s="5">
        <v>115.72</v>
      </c>
      <c r="J26" s="5"/>
    </row>
    <row r="27" s="1" customFormat="1" spans="1:10">
      <c r="A27" s="5">
        <v>24</v>
      </c>
      <c r="B27" s="5" t="s">
        <v>16</v>
      </c>
      <c r="C27" s="5" t="s">
        <v>17</v>
      </c>
      <c r="D27" s="5" t="str">
        <f t="shared" si="1"/>
        <v>20220202001</v>
      </c>
      <c r="E27" s="5">
        <v>2</v>
      </c>
      <c r="F27" s="5" t="s">
        <v>14</v>
      </c>
      <c r="G27" s="5" t="str">
        <f>"刘佳艺"</f>
        <v>刘佳艺</v>
      </c>
      <c r="H27" s="5" t="str">
        <f>"112001125"</f>
        <v>112001125</v>
      </c>
      <c r="I27" s="5">
        <v>113.24</v>
      </c>
      <c r="J27" s="5"/>
    </row>
    <row r="28" s="1" customFormat="1" spans="1:10">
      <c r="A28" s="5">
        <v>25</v>
      </c>
      <c r="B28" s="5" t="s">
        <v>16</v>
      </c>
      <c r="C28" s="5" t="s">
        <v>17</v>
      </c>
      <c r="D28" s="5" t="str">
        <f t="shared" si="1"/>
        <v>20220202001</v>
      </c>
      <c r="E28" s="5">
        <v>2</v>
      </c>
      <c r="F28" s="5" t="s">
        <v>14</v>
      </c>
      <c r="G28" s="5" t="str">
        <f>"卢晓晨"</f>
        <v>卢晓晨</v>
      </c>
      <c r="H28" s="5" t="str">
        <f>"112001702"</f>
        <v>112001702</v>
      </c>
      <c r="I28" s="5">
        <v>109.52</v>
      </c>
      <c r="J28" s="5"/>
    </row>
    <row r="29" s="1" customFormat="1" spans="1:10">
      <c r="A29" s="5">
        <v>26</v>
      </c>
      <c r="B29" s="5" t="s">
        <v>16</v>
      </c>
      <c r="C29" s="5" t="s">
        <v>17</v>
      </c>
      <c r="D29" s="5" t="str">
        <f t="shared" si="1"/>
        <v>20220202001</v>
      </c>
      <c r="E29" s="5">
        <v>2</v>
      </c>
      <c r="F29" s="5" t="s">
        <v>14</v>
      </c>
      <c r="G29" s="5" t="str">
        <f>"陈蕾"</f>
        <v>陈蕾</v>
      </c>
      <c r="H29" s="5" t="str">
        <f>"112001804"</f>
        <v>112001804</v>
      </c>
      <c r="I29" s="5">
        <v>108.6</v>
      </c>
      <c r="J29" s="5"/>
    </row>
    <row r="30" s="1" customFormat="1" spans="1:10">
      <c r="A30" s="5">
        <v>27</v>
      </c>
      <c r="B30" s="5" t="s">
        <v>16</v>
      </c>
      <c r="C30" s="5" t="s">
        <v>17</v>
      </c>
      <c r="D30" s="5" t="str">
        <f t="shared" si="1"/>
        <v>20220202001</v>
      </c>
      <c r="E30" s="5">
        <v>2</v>
      </c>
      <c r="F30" s="5" t="s">
        <v>14</v>
      </c>
      <c r="G30" s="5" t="str">
        <f>"陈清玥"</f>
        <v>陈清玥</v>
      </c>
      <c r="H30" s="5" t="str">
        <f>"112000809"</f>
        <v>112000809</v>
      </c>
      <c r="I30" s="5">
        <v>108</v>
      </c>
      <c r="J30" s="5"/>
    </row>
    <row r="31" s="1" customFormat="1" spans="1:10">
      <c r="A31" s="5">
        <v>28</v>
      </c>
      <c r="B31" s="5" t="s">
        <v>16</v>
      </c>
      <c r="C31" s="5" t="s">
        <v>17</v>
      </c>
      <c r="D31" s="5" t="str">
        <f t="shared" si="1"/>
        <v>20220202001</v>
      </c>
      <c r="E31" s="5">
        <v>2</v>
      </c>
      <c r="F31" s="5" t="s">
        <v>14</v>
      </c>
      <c r="G31" s="5" t="str">
        <f>"向云"</f>
        <v>向云</v>
      </c>
      <c r="H31" s="5" t="str">
        <f>"112001910"</f>
        <v>112001910</v>
      </c>
      <c r="I31" s="5">
        <v>107.4</v>
      </c>
      <c r="J31" s="5"/>
    </row>
    <row r="32" s="1" customFormat="1" spans="1:10">
      <c r="A32" s="5">
        <v>29</v>
      </c>
      <c r="B32" s="5" t="s">
        <v>16</v>
      </c>
      <c r="C32" s="5" t="s">
        <v>17</v>
      </c>
      <c r="D32" s="5" t="str">
        <f t="shared" si="1"/>
        <v>20220202001</v>
      </c>
      <c r="E32" s="5">
        <v>2</v>
      </c>
      <c r="F32" s="5" t="s">
        <v>14</v>
      </c>
      <c r="G32" s="5" t="str">
        <f>"刘淘淘"</f>
        <v>刘淘淘</v>
      </c>
      <c r="H32" s="5" t="str">
        <f>"112001814"</f>
        <v>112001814</v>
      </c>
      <c r="I32" s="5">
        <v>105.96</v>
      </c>
      <c r="J32" s="5"/>
    </row>
    <row r="33" s="1" customFormat="1" spans="1:10">
      <c r="A33" s="5">
        <v>30</v>
      </c>
      <c r="B33" s="5" t="s">
        <v>16</v>
      </c>
      <c r="C33" s="5" t="s">
        <v>17</v>
      </c>
      <c r="D33" s="5" t="str">
        <f t="shared" si="1"/>
        <v>20220202001</v>
      </c>
      <c r="E33" s="5">
        <v>2</v>
      </c>
      <c r="F33" s="5" t="s">
        <v>14</v>
      </c>
      <c r="G33" s="5" t="str">
        <f>"杨海伦"</f>
        <v>杨海伦</v>
      </c>
      <c r="H33" s="5" t="str">
        <f>"112001213"</f>
        <v>112001213</v>
      </c>
      <c r="I33" s="5">
        <v>105.32</v>
      </c>
      <c r="J33" s="5"/>
    </row>
    <row r="34" s="1" customFormat="1" spans="1:10">
      <c r="A34" s="5">
        <v>31</v>
      </c>
      <c r="B34" s="5" t="s">
        <v>16</v>
      </c>
      <c r="C34" s="5" t="s">
        <v>17</v>
      </c>
      <c r="D34" s="5" t="str">
        <f t="shared" si="1"/>
        <v>20220202001</v>
      </c>
      <c r="E34" s="5">
        <v>2</v>
      </c>
      <c r="F34" s="5" t="s">
        <v>14</v>
      </c>
      <c r="G34" s="5" t="str">
        <f>"潘雅婷"</f>
        <v>潘雅婷</v>
      </c>
      <c r="H34" s="5" t="str">
        <f>"112001311"</f>
        <v>112001311</v>
      </c>
      <c r="I34" s="5">
        <v>105</v>
      </c>
      <c r="J34" s="5"/>
    </row>
    <row r="35" s="1" customFormat="1" spans="1:10">
      <c r="A35" s="5">
        <v>32</v>
      </c>
      <c r="B35" s="5" t="s">
        <v>16</v>
      </c>
      <c r="C35" s="5" t="s">
        <v>17</v>
      </c>
      <c r="D35" s="5" t="str">
        <f t="shared" si="1"/>
        <v>20220202001</v>
      </c>
      <c r="E35" s="5">
        <v>2</v>
      </c>
      <c r="F35" s="5" t="s">
        <v>14</v>
      </c>
      <c r="G35" s="5" t="str">
        <f>"熊功洁"</f>
        <v>熊功洁</v>
      </c>
      <c r="H35" s="5" t="str">
        <f>"112001204"</f>
        <v>112001204</v>
      </c>
      <c r="I35" s="5">
        <v>103.8</v>
      </c>
      <c r="J35" s="5"/>
    </row>
    <row r="36" s="1" customFormat="1" spans="1:10">
      <c r="A36" s="5">
        <v>33</v>
      </c>
      <c r="B36" s="5" t="s">
        <v>16</v>
      </c>
      <c r="C36" s="5" t="s">
        <v>17</v>
      </c>
      <c r="D36" s="5" t="str">
        <f t="shared" si="1"/>
        <v>20220202001</v>
      </c>
      <c r="E36" s="5">
        <v>2</v>
      </c>
      <c r="F36" s="5" t="s">
        <v>14</v>
      </c>
      <c r="G36" s="5" t="str">
        <f>"张吟可"</f>
        <v>张吟可</v>
      </c>
      <c r="H36" s="5" t="str">
        <f>"112001322"</f>
        <v>112001322</v>
      </c>
      <c r="I36" s="5">
        <v>103.68</v>
      </c>
      <c r="J36" s="5"/>
    </row>
    <row r="37" s="1" customFormat="1" spans="1:10">
      <c r="A37" s="5">
        <v>34</v>
      </c>
      <c r="B37" s="5" t="s">
        <v>16</v>
      </c>
      <c r="C37" s="5" t="s">
        <v>17</v>
      </c>
      <c r="D37" s="5" t="str">
        <f t="shared" si="1"/>
        <v>20220202001</v>
      </c>
      <c r="E37" s="5">
        <v>2</v>
      </c>
      <c r="F37" s="5" t="s">
        <v>14</v>
      </c>
      <c r="G37" s="5" t="str">
        <f>"余雅君"</f>
        <v>余雅君</v>
      </c>
      <c r="H37" s="5" t="str">
        <f>"112001428"</f>
        <v>112001428</v>
      </c>
      <c r="I37" s="5">
        <v>102.72</v>
      </c>
      <c r="J37" s="5"/>
    </row>
    <row r="38" s="1" customFormat="1" spans="1:10">
      <c r="A38" s="5">
        <v>35</v>
      </c>
      <c r="B38" s="5" t="s">
        <v>16</v>
      </c>
      <c r="C38" s="5" t="s">
        <v>17</v>
      </c>
      <c r="D38" s="5" t="str">
        <f t="shared" si="1"/>
        <v>20220202001</v>
      </c>
      <c r="E38" s="5">
        <v>2</v>
      </c>
      <c r="F38" s="5" t="s">
        <v>14</v>
      </c>
      <c r="G38" s="5" t="str">
        <f>"胡梦迪"</f>
        <v>胡梦迪</v>
      </c>
      <c r="H38" s="5" t="str">
        <f>"112000407"</f>
        <v>112000407</v>
      </c>
      <c r="I38" s="5">
        <v>102.56</v>
      </c>
      <c r="J38" s="5"/>
    </row>
    <row r="39" s="1" customFormat="1" spans="1:10">
      <c r="A39" s="5">
        <v>36</v>
      </c>
      <c r="B39" s="5" t="s">
        <v>16</v>
      </c>
      <c r="C39" s="5" t="s">
        <v>17</v>
      </c>
      <c r="D39" s="5" t="str">
        <f t="shared" si="1"/>
        <v>20220202001</v>
      </c>
      <c r="E39" s="5">
        <v>2</v>
      </c>
      <c r="F39" s="5" t="s">
        <v>14</v>
      </c>
      <c r="G39" s="5" t="str">
        <f>"张楠"</f>
        <v>张楠</v>
      </c>
      <c r="H39" s="5" t="str">
        <f>"112001911"</f>
        <v>112001911</v>
      </c>
      <c r="I39" s="5">
        <v>102.24</v>
      </c>
      <c r="J39" s="5"/>
    </row>
    <row r="40" s="1" customFormat="1" spans="1:10">
      <c r="A40" s="5">
        <v>37</v>
      </c>
      <c r="B40" s="5" t="s">
        <v>16</v>
      </c>
      <c r="C40" s="5" t="s">
        <v>17</v>
      </c>
      <c r="D40" s="5" t="str">
        <f t="shared" si="1"/>
        <v>20220202001</v>
      </c>
      <c r="E40" s="5">
        <v>2</v>
      </c>
      <c r="F40" s="5" t="s">
        <v>14</v>
      </c>
      <c r="G40" s="5" t="str">
        <f>"赵明敏"</f>
        <v>赵明敏</v>
      </c>
      <c r="H40" s="5" t="str">
        <f>"112001012"</f>
        <v>112001012</v>
      </c>
      <c r="I40" s="5">
        <v>101.32</v>
      </c>
      <c r="J40" s="5"/>
    </row>
    <row r="41" s="1" customFormat="1" spans="1:10">
      <c r="A41" s="5">
        <v>38</v>
      </c>
      <c r="B41" s="5" t="s">
        <v>16</v>
      </c>
      <c r="C41" s="5" t="s">
        <v>17</v>
      </c>
      <c r="D41" s="5" t="str">
        <f t="shared" si="1"/>
        <v>20220202001</v>
      </c>
      <c r="E41" s="5">
        <v>2</v>
      </c>
      <c r="F41" s="5" t="s">
        <v>14</v>
      </c>
      <c r="G41" s="5" t="str">
        <f>"黄文"</f>
        <v>黄文</v>
      </c>
      <c r="H41" s="5" t="str">
        <f>"112001628"</f>
        <v>112001628</v>
      </c>
      <c r="I41" s="5">
        <v>101</v>
      </c>
      <c r="J41" s="5"/>
    </row>
    <row r="42" s="1" customFormat="1" spans="1:10">
      <c r="A42" s="5">
        <v>39</v>
      </c>
      <c r="B42" s="5" t="s">
        <v>16</v>
      </c>
      <c r="C42" s="5" t="s">
        <v>17</v>
      </c>
      <c r="D42" s="5" t="str">
        <f t="shared" si="1"/>
        <v>20220202001</v>
      </c>
      <c r="E42" s="5">
        <v>2</v>
      </c>
      <c r="F42" s="5" t="s">
        <v>14</v>
      </c>
      <c r="G42" s="5" t="str">
        <f>"邓阳杰"</f>
        <v>邓阳杰</v>
      </c>
      <c r="H42" s="5" t="str">
        <f>"112001406"</f>
        <v>112001406</v>
      </c>
      <c r="I42" s="5">
        <v>100.92</v>
      </c>
      <c r="J42" s="5"/>
    </row>
    <row r="43" s="1" customFormat="1" spans="1:10">
      <c r="A43" s="5">
        <v>40</v>
      </c>
      <c r="B43" s="5" t="s">
        <v>16</v>
      </c>
      <c r="C43" s="5" t="s">
        <v>17</v>
      </c>
      <c r="D43" s="5" t="str">
        <f t="shared" si="1"/>
        <v>20220202001</v>
      </c>
      <c r="E43" s="5">
        <v>2</v>
      </c>
      <c r="F43" s="5" t="s">
        <v>14</v>
      </c>
      <c r="G43" s="5" t="str">
        <f>"杨富雯"</f>
        <v>杨富雯</v>
      </c>
      <c r="H43" s="5" t="str">
        <f>"112000905"</f>
        <v>112000905</v>
      </c>
      <c r="I43" s="5">
        <v>99.88</v>
      </c>
      <c r="J43" s="5"/>
    </row>
    <row r="44" s="1" customFormat="1" spans="1:10">
      <c r="A44" s="5">
        <v>41</v>
      </c>
      <c r="B44" s="5" t="s">
        <v>16</v>
      </c>
      <c r="C44" s="5" t="s">
        <v>17</v>
      </c>
      <c r="D44" s="5" t="str">
        <f t="shared" si="1"/>
        <v>20220202001</v>
      </c>
      <c r="E44" s="5">
        <v>2</v>
      </c>
      <c r="F44" s="5" t="s">
        <v>14</v>
      </c>
      <c r="G44" s="5" t="str">
        <f>"陈诗栩"</f>
        <v>陈诗栩</v>
      </c>
      <c r="H44" s="5" t="str">
        <f>"112001422"</f>
        <v>112001422</v>
      </c>
      <c r="I44" s="5">
        <v>98.96</v>
      </c>
      <c r="J44" s="5"/>
    </row>
    <row r="45" s="1" customFormat="1" spans="1:10">
      <c r="A45" s="5">
        <v>42</v>
      </c>
      <c r="B45" s="5" t="s">
        <v>16</v>
      </c>
      <c r="C45" s="5" t="s">
        <v>17</v>
      </c>
      <c r="D45" s="5" t="str">
        <f t="shared" si="1"/>
        <v>20220202001</v>
      </c>
      <c r="E45" s="5">
        <v>2</v>
      </c>
      <c r="F45" s="5" t="s">
        <v>14</v>
      </c>
      <c r="G45" s="5" t="str">
        <f>"毛思雨"</f>
        <v>毛思雨</v>
      </c>
      <c r="H45" s="5" t="str">
        <f>"112000815"</f>
        <v>112000815</v>
      </c>
      <c r="I45" s="5">
        <v>98.72</v>
      </c>
      <c r="J45" s="5"/>
    </row>
    <row r="46" s="1" customFormat="1" spans="1:10">
      <c r="A46" s="5">
        <v>43</v>
      </c>
      <c r="B46" s="5" t="s">
        <v>16</v>
      </c>
      <c r="C46" s="5" t="s">
        <v>17</v>
      </c>
      <c r="D46" s="5" t="str">
        <f t="shared" si="1"/>
        <v>20220202001</v>
      </c>
      <c r="E46" s="5">
        <v>2</v>
      </c>
      <c r="F46" s="5" t="s">
        <v>14</v>
      </c>
      <c r="G46" s="5" t="str">
        <f>"陈蕾"</f>
        <v>陈蕾</v>
      </c>
      <c r="H46" s="5" t="str">
        <f>"112001902"</f>
        <v>112001902</v>
      </c>
      <c r="I46" s="5">
        <v>98.32</v>
      </c>
      <c r="J46" s="5"/>
    </row>
    <row r="47" s="1" customFormat="1" spans="1:10">
      <c r="A47" s="5">
        <v>44</v>
      </c>
      <c r="B47" s="5" t="s">
        <v>16</v>
      </c>
      <c r="C47" s="5" t="s">
        <v>17</v>
      </c>
      <c r="D47" s="5" t="str">
        <f t="shared" si="1"/>
        <v>20220202001</v>
      </c>
      <c r="E47" s="5">
        <v>2</v>
      </c>
      <c r="F47" s="5" t="s">
        <v>14</v>
      </c>
      <c r="G47" s="5" t="str">
        <f>"严雯"</f>
        <v>严雯</v>
      </c>
      <c r="H47" s="5" t="str">
        <f>"112000412"</f>
        <v>112000412</v>
      </c>
      <c r="I47" s="5">
        <v>97.92</v>
      </c>
      <c r="J47" s="5"/>
    </row>
    <row r="48" s="1" customFormat="1" spans="1:10">
      <c r="A48" s="5">
        <v>45</v>
      </c>
      <c r="B48" s="5" t="s">
        <v>16</v>
      </c>
      <c r="C48" s="5" t="s">
        <v>17</v>
      </c>
      <c r="D48" s="5" t="str">
        <f t="shared" si="1"/>
        <v>20220202001</v>
      </c>
      <c r="E48" s="5">
        <v>2</v>
      </c>
      <c r="F48" s="5" t="s">
        <v>14</v>
      </c>
      <c r="G48" s="5" t="str">
        <f>"罗孟秋"</f>
        <v>罗孟秋</v>
      </c>
      <c r="H48" s="5" t="str">
        <f>"112001609"</f>
        <v>112001609</v>
      </c>
      <c r="I48" s="5">
        <v>97.88</v>
      </c>
      <c r="J48" s="5"/>
    </row>
    <row r="49" s="1" customFormat="1" spans="1:10">
      <c r="A49" s="5">
        <v>46</v>
      </c>
      <c r="B49" s="5" t="s">
        <v>16</v>
      </c>
      <c r="C49" s="5" t="s">
        <v>17</v>
      </c>
      <c r="D49" s="5" t="str">
        <f t="shared" si="1"/>
        <v>20220202001</v>
      </c>
      <c r="E49" s="5">
        <v>2</v>
      </c>
      <c r="F49" s="5" t="s">
        <v>14</v>
      </c>
      <c r="G49" s="5" t="str">
        <f>"彭乙卜"</f>
        <v>彭乙卜</v>
      </c>
      <c r="H49" s="5" t="str">
        <f>"112000516"</f>
        <v>112000516</v>
      </c>
      <c r="I49" s="5">
        <v>97.64</v>
      </c>
      <c r="J49" s="5"/>
    </row>
    <row r="50" s="1" customFormat="1" spans="1:10">
      <c r="A50" s="5">
        <v>47</v>
      </c>
      <c r="B50" s="5" t="s">
        <v>16</v>
      </c>
      <c r="C50" s="5" t="s">
        <v>17</v>
      </c>
      <c r="D50" s="5" t="str">
        <f t="shared" si="1"/>
        <v>20220202001</v>
      </c>
      <c r="E50" s="5">
        <v>2</v>
      </c>
      <c r="F50" s="5" t="s">
        <v>14</v>
      </c>
      <c r="G50" s="5" t="str">
        <f>"姚梦莹"</f>
        <v>姚梦莹</v>
      </c>
      <c r="H50" s="5" t="str">
        <f>"112000520"</f>
        <v>112000520</v>
      </c>
      <c r="I50" s="5">
        <v>97.24</v>
      </c>
      <c r="J50" s="5"/>
    </row>
    <row r="51" s="1" customFormat="1" spans="1:10">
      <c r="A51" s="5">
        <v>48</v>
      </c>
      <c r="B51" s="5" t="s">
        <v>16</v>
      </c>
      <c r="C51" s="5" t="s">
        <v>17</v>
      </c>
      <c r="D51" s="5" t="str">
        <f t="shared" si="1"/>
        <v>20220202001</v>
      </c>
      <c r="E51" s="5">
        <v>2</v>
      </c>
      <c r="F51" s="5" t="s">
        <v>14</v>
      </c>
      <c r="G51" s="5" t="str">
        <f>"胡月"</f>
        <v>胡月</v>
      </c>
      <c r="H51" s="5" t="str">
        <f>"112000115"</f>
        <v>112000115</v>
      </c>
      <c r="I51" s="5">
        <v>95.84</v>
      </c>
      <c r="J51" s="5"/>
    </row>
    <row r="52" s="1" customFormat="1" spans="1:10">
      <c r="A52" s="5">
        <v>49</v>
      </c>
      <c r="B52" s="5" t="s">
        <v>16</v>
      </c>
      <c r="C52" s="5" t="s">
        <v>17</v>
      </c>
      <c r="D52" s="5" t="str">
        <f t="shared" si="1"/>
        <v>20220202001</v>
      </c>
      <c r="E52" s="5">
        <v>2</v>
      </c>
      <c r="F52" s="5" t="s">
        <v>14</v>
      </c>
      <c r="G52" s="5" t="str">
        <f>"吴淼"</f>
        <v>吴淼</v>
      </c>
      <c r="H52" s="5" t="str">
        <f>"112001313"</f>
        <v>112001313</v>
      </c>
      <c r="I52" s="5">
        <v>95.72</v>
      </c>
      <c r="J52" s="5"/>
    </row>
    <row r="53" s="1" customFormat="1" spans="1:10">
      <c r="A53" s="5">
        <v>50</v>
      </c>
      <c r="B53" s="5" t="s">
        <v>16</v>
      </c>
      <c r="C53" s="5" t="s">
        <v>17</v>
      </c>
      <c r="D53" s="5" t="str">
        <f t="shared" si="1"/>
        <v>20220202001</v>
      </c>
      <c r="E53" s="5">
        <v>2</v>
      </c>
      <c r="F53" s="5" t="s">
        <v>14</v>
      </c>
      <c r="G53" s="5" t="str">
        <f>"聂倩"</f>
        <v>聂倩</v>
      </c>
      <c r="H53" s="5" t="str">
        <f>"112000312"</f>
        <v>112000312</v>
      </c>
      <c r="I53" s="5">
        <v>94.68</v>
      </c>
      <c r="J53" s="5"/>
    </row>
    <row r="54" s="1" customFormat="1" spans="1:10">
      <c r="A54" s="5">
        <v>51</v>
      </c>
      <c r="B54" s="5" t="s">
        <v>16</v>
      </c>
      <c r="C54" s="5" t="s">
        <v>17</v>
      </c>
      <c r="D54" s="5" t="str">
        <f t="shared" si="1"/>
        <v>20220202001</v>
      </c>
      <c r="E54" s="5">
        <v>2</v>
      </c>
      <c r="F54" s="5" t="s">
        <v>14</v>
      </c>
      <c r="G54" s="5" t="str">
        <f>"沈晓岑"</f>
        <v>沈晓岑</v>
      </c>
      <c r="H54" s="5" t="str">
        <f>"112001921"</f>
        <v>112001921</v>
      </c>
      <c r="I54" s="5">
        <v>94.32</v>
      </c>
      <c r="J54" s="5"/>
    </row>
    <row r="55" s="1" customFormat="1" spans="1:10">
      <c r="A55" s="5">
        <v>52</v>
      </c>
      <c r="B55" s="5" t="s">
        <v>16</v>
      </c>
      <c r="C55" s="5" t="s">
        <v>17</v>
      </c>
      <c r="D55" s="5" t="str">
        <f t="shared" si="1"/>
        <v>20220202001</v>
      </c>
      <c r="E55" s="5">
        <v>2</v>
      </c>
      <c r="F55" s="5" t="s">
        <v>14</v>
      </c>
      <c r="G55" s="5" t="str">
        <f>"山日钦"</f>
        <v>山日钦</v>
      </c>
      <c r="H55" s="5" t="str">
        <f>"112001528"</f>
        <v>112001528</v>
      </c>
      <c r="I55" s="5">
        <v>93.28</v>
      </c>
      <c r="J55" s="5"/>
    </row>
    <row r="56" s="1" customFormat="1" spans="1:10">
      <c r="A56" s="5">
        <v>53</v>
      </c>
      <c r="B56" s="5" t="s">
        <v>16</v>
      </c>
      <c r="C56" s="5" t="s">
        <v>17</v>
      </c>
      <c r="D56" s="5" t="str">
        <f t="shared" si="1"/>
        <v>20220202001</v>
      </c>
      <c r="E56" s="5">
        <v>2</v>
      </c>
      <c r="F56" s="5" t="s">
        <v>14</v>
      </c>
      <c r="G56" s="5" t="str">
        <f>"童驿程"</f>
        <v>童驿程</v>
      </c>
      <c r="H56" s="5" t="str">
        <f>"112000522"</f>
        <v>112000522</v>
      </c>
      <c r="I56" s="5">
        <v>93.2</v>
      </c>
      <c r="J56" s="5"/>
    </row>
    <row r="57" s="1" customFormat="1" spans="1:10">
      <c r="A57" s="5">
        <v>54</v>
      </c>
      <c r="B57" s="5" t="s">
        <v>16</v>
      </c>
      <c r="C57" s="5" t="s">
        <v>17</v>
      </c>
      <c r="D57" s="5" t="str">
        <f t="shared" si="1"/>
        <v>20220202001</v>
      </c>
      <c r="E57" s="5">
        <v>2</v>
      </c>
      <c r="F57" s="5" t="s">
        <v>14</v>
      </c>
      <c r="G57" s="5" t="str">
        <f>"阮诗航"</f>
        <v>阮诗航</v>
      </c>
      <c r="H57" s="5" t="str">
        <f>"112000206"</f>
        <v>112000206</v>
      </c>
      <c r="I57" s="5">
        <v>92.96</v>
      </c>
      <c r="J57" s="5"/>
    </row>
    <row r="58" s="1" customFormat="1" spans="1:10">
      <c r="A58" s="5">
        <v>55</v>
      </c>
      <c r="B58" s="5" t="s">
        <v>16</v>
      </c>
      <c r="C58" s="5" t="s">
        <v>17</v>
      </c>
      <c r="D58" s="5" t="str">
        <f t="shared" si="1"/>
        <v>20220202001</v>
      </c>
      <c r="E58" s="5">
        <v>2</v>
      </c>
      <c r="F58" s="5" t="s">
        <v>14</v>
      </c>
      <c r="G58" s="5" t="str">
        <f>"鞠家乐"</f>
        <v>鞠家乐</v>
      </c>
      <c r="H58" s="5" t="str">
        <f>"112000202"</f>
        <v>112000202</v>
      </c>
      <c r="I58" s="5">
        <v>92.48</v>
      </c>
      <c r="J58" s="5"/>
    </row>
    <row r="59" s="1" customFormat="1" spans="1:10">
      <c r="A59" s="5">
        <v>56</v>
      </c>
      <c r="B59" s="5" t="s">
        <v>16</v>
      </c>
      <c r="C59" s="5" t="s">
        <v>17</v>
      </c>
      <c r="D59" s="5" t="str">
        <f t="shared" si="1"/>
        <v>20220202001</v>
      </c>
      <c r="E59" s="5">
        <v>2</v>
      </c>
      <c r="F59" s="5" t="s">
        <v>14</v>
      </c>
      <c r="G59" s="5" t="str">
        <f>"郭尚喜"</f>
        <v>郭尚喜</v>
      </c>
      <c r="H59" s="5" t="str">
        <f>"112000703"</f>
        <v>112000703</v>
      </c>
      <c r="I59" s="5">
        <v>91.32</v>
      </c>
      <c r="J59" s="5"/>
    </row>
    <row r="60" s="1" customFormat="1" spans="1:10">
      <c r="A60" s="5">
        <v>57</v>
      </c>
      <c r="B60" s="5" t="s">
        <v>16</v>
      </c>
      <c r="C60" s="5" t="s">
        <v>17</v>
      </c>
      <c r="D60" s="5" t="str">
        <f t="shared" si="1"/>
        <v>20220202001</v>
      </c>
      <c r="E60" s="5">
        <v>2</v>
      </c>
      <c r="F60" s="5" t="s">
        <v>14</v>
      </c>
      <c r="G60" s="5" t="str">
        <f>"胜晨雨"</f>
        <v>胜晨雨</v>
      </c>
      <c r="H60" s="5" t="str">
        <f>"112000104"</f>
        <v>112000104</v>
      </c>
      <c r="I60" s="5">
        <v>91.16</v>
      </c>
      <c r="J60" s="5"/>
    </row>
    <row r="61" s="1" customFormat="1" spans="1:10">
      <c r="A61" s="5">
        <v>58</v>
      </c>
      <c r="B61" s="5" t="s">
        <v>16</v>
      </c>
      <c r="C61" s="5" t="s">
        <v>17</v>
      </c>
      <c r="D61" s="5" t="str">
        <f t="shared" si="1"/>
        <v>20220202001</v>
      </c>
      <c r="E61" s="5">
        <v>2</v>
      </c>
      <c r="F61" s="5" t="s">
        <v>14</v>
      </c>
      <c r="G61" s="5" t="str">
        <f>"郭志"</f>
        <v>郭志</v>
      </c>
      <c r="H61" s="5" t="str">
        <f>"112000503"</f>
        <v>112000503</v>
      </c>
      <c r="I61" s="5">
        <v>91.08</v>
      </c>
      <c r="J61" s="5"/>
    </row>
    <row r="62" s="1" customFormat="1" spans="1:10">
      <c r="A62" s="5">
        <v>59</v>
      </c>
      <c r="B62" s="5" t="s">
        <v>16</v>
      </c>
      <c r="C62" s="5" t="s">
        <v>17</v>
      </c>
      <c r="D62" s="5" t="str">
        <f t="shared" si="1"/>
        <v>20220202001</v>
      </c>
      <c r="E62" s="5">
        <v>2</v>
      </c>
      <c r="F62" s="5" t="s">
        <v>14</v>
      </c>
      <c r="G62" s="5" t="str">
        <f>"潘智超"</f>
        <v>潘智超</v>
      </c>
      <c r="H62" s="5" t="str">
        <f>"112001121"</f>
        <v>112001121</v>
      </c>
      <c r="I62" s="5">
        <v>90.32</v>
      </c>
      <c r="J62" s="5"/>
    </row>
    <row r="63" s="1" customFormat="1" spans="1:10">
      <c r="A63" s="5">
        <v>60</v>
      </c>
      <c r="B63" s="5" t="s">
        <v>16</v>
      </c>
      <c r="C63" s="5" t="s">
        <v>17</v>
      </c>
      <c r="D63" s="5" t="str">
        <f t="shared" si="1"/>
        <v>20220202001</v>
      </c>
      <c r="E63" s="5">
        <v>2</v>
      </c>
      <c r="F63" s="5" t="s">
        <v>14</v>
      </c>
      <c r="G63" s="5" t="str">
        <f>"周天琪"</f>
        <v>周天琪</v>
      </c>
      <c r="H63" s="5" t="str">
        <f>"112000820"</f>
        <v>112000820</v>
      </c>
      <c r="I63" s="5">
        <v>90.24</v>
      </c>
      <c r="J63" s="5"/>
    </row>
    <row r="64" s="1" customFormat="1" spans="1:10">
      <c r="A64" s="5">
        <v>61</v>
      </c>
      <c r="B64" s="5" t="s">
        <v>16</v>
      </c>
      <c r="C64" s="5" t="s">
        <v>17</v>
      </c>
      <c r="D64" s="5" t="str">
        <f t="shared" si="1"/>
        <v>20220202001</v>
      </c>
      <c r="E64" s="5">
        <v>2</v>
      </c>
      <c r="F64" s="5" t="s">
        <v>14</v>
      </c>
      <c r="G64" s="5" t="str">
        <f>"徐林康"</f>
        <v>徐林康</v>
      </c>
      <c r="H64" s="5" t="str">
        <f>"112000707"</f>
        <v>112000707</v>
      </c>
      <c r="I64" s="5">
        <v>89.92</v>
      </c>
      <c r="J64" s="5"/>
    </row>
    <row r="65" s="1" customFormat="1" spans="1:10">
      <c r="A65" s="5">
        <v>62</v>
      </c>
      <c r="B65" s="5" t="s">
        <v>16</v>
      </c>
      <c r="C65" s="5" t="s">
        <v>17</v>
      </c>
      <c r="D65" s="5" t="str">
        <f t="shared" si="1"/>
        <v>20220202001</v>
      </c>
      <c r="E65" s="5">
        <v>2</v>
      </c>
      <c r="F65" s="5" t="s">
        <v>14</v>
      </c>
      <c r="G65" s="5" t="str">
        <f>"魏胜"</f>
        <v>魏胜</v>
      </c>
      <c r="H65" s="5" t="str">
        <f>"112000514"</f>
        <v>112000514</v>
      </c>
      <c r="I65" s="5">
        <v>89.28</v>
      </c>
      <c r="J65" s="5"/>
    </row>
    <row r="66" s="1" customFormat="1" spans="1:10">
      <c r="A66" s="5">
        <v>63</v>
      </c>
      <c r="B66" s="5" t="s">
        <v>16</v>
      </c>
      <c r="C66" s="5" t="s">
        <v>17</v>
      </c>
      <c r="D66" s="5" t="str">
        <f t="shared" si="1"/>
        <v>20220202001</v>
      </c>
      <c r="E66" s="5">
        <v>2</v>
      </c>
      <c r="F66" s="5" t="s">
        <v>14</v>
      </c>
      <c r="G66" s="5" t="str">
        <f>"李荣宪"</f>
        <v>李荣宪</v>
      </c>
      <c r="H66" s="5" t="str">
        <f>"112001610"</f>
        <v>112001610</v>
      </c>
      <c r="I66" s="5">
        <v>89.28</v>
      </c>
      <c r="J66" s="5"/>
    </row>
    <row r="67" s="1" customFormat="1" spans="1:10">
      <c r="A67" s="5">
        <v>64</v>
      </c>
      <c r="B67" s="5" t="s">
        <v>16</v>
      </c>
      <c r="C67" s="5" t="s">
        <v>17</v>
      </c>
      <c r="D67" s="5" t="str">
        <f t="shared" si="1"/>
        <v>20220202001</v>
      </c>
      <c r="E67" s="5">
        <v>2</v>
      </c>
      <c r="F67" s="5" t="s">
        <v>14</v>
      </c>
      <c r="G67" s="5" t="str">
        <f>"刘泰骐"</f>
        <v>刘泰骐</v>
      </c>
      <c r="H67" s="5" t="str">
        <f>"112001816"</f>
        <v>112001816</v>
      </c>
      <c r="I67" s="5">
        <v>88.96</v>
      </c>
      <c r="J67" s="5"/>
    </row>
    <row r="68" s="1" customFormat="1" spans="1:10">
      <c r="A68" s="5">
        <v>65</v>
      </c>
      <c r="B68" s="5" t="s">
        <v>16</v>
      </c>
      <c r="C68" s="5" t="s">
        <v>17</v>
      </c>
      <c r="D68" s="5" t="str">
        <f t="shared" si="1"/>
        <v>20220202001</v>
      </c>
      <c r="E68" s="5">
        <v>2</v>
      </c>
      <c r="F68" s="5" t="s">
        <v>14</v>
      </c>
      <c r="G68" s="5" t="str">
        <f>"王雨柔"</f>
        <v>王雨柔</v>
      </c>
      <c r="H68" s="5" t="str">
        <f>"112000713"</f>
        <v>112000713</v>
      </c>
      <c r="I68" s="5">
        <v>88.56</v>
      </c>
      <c r="J68" s="5"/>
    </row>
    <row r="69" s="1" customFormat="1" spans="1:10">
      <c r="A69" s="5">
        <v>66</v>
      </c>
      <c r="B69" s="5" t="s">
        <v>16</v>
      </c>
      <c r="C69" s="5" t="s">
        <v>17</v>
      </c>
      <c r="D69" s="5" t="str">
        <f t="shared" si="1"/>
        <v>20220202001</v>
      </c>
      <c r="E69" s="5">
        <v>2</v>
      </c>
      <c r="F69" s="5" t="s">
        <v>14</v>
      </c>
      <c r="G69" s="5" t="str">
        <f>"郑紫薇"</f>
        <v>郑紫薇</v>
      </c>
      <c r="H69" s="5" t="str">
        <f>"112000306"</f>
        <v>112000306</v>
      </c>
      <c r="I69" s="5">
        <v>87.76</v>
      </c>
      <c r="J69" s="5"/>
    </row>
    <row r="70" s="1" customFormat="1" spans="1:10">
      <c r="A70" s="5">
        <v>67</v>
      </c>
      <c r="B70" s="5" t="s">
        <v>16</v>
      </c>
      <c r="C70" s="5" t="s">
        <v>17</v>
      </c>
      <c r="D70" s="5" t="str">
        <f t="shared" si="1"/>
        <v>20220202001</v>
      </c>
      <c r="E70" s="5">
        <v>2</v>
      </c>
      <c r="F70" s="5" t="s">
        <v>14</v>
      </c>
      <c r="G70" s="5" t="str">
        <f>"向纯白"</f>
        <v>向纯白</v>
      </c>
      <c r="H70" s="5" t="str">
        <f>"112001623"</f>
        <v>112001623</v>
      </c>
      <c r="I70" s="5">
        <v>87.52</v>
      </c>
      <c r="J70" s="5"/>
    </row>
    <row r="71" s="1" customFormat="1" spans="1:10">
      <c r="A71" s="5">
        <v>68</v>
      </c>
      <c r="B71" s="5" t="s">
        <v>16</v>
      </c>
      <c r="C71" s="5" t="s">
        <v>17</v>
      </c>
      <c r="D71" s="5" t="str">
        <f t="shared" si="1"/>
        <v>20220202001</v>
      </c>
      <c r="E71" s="5">
        <v>2</v>
      </c>
      <c r="F71" s="5" t="s">
        <v>14</v>
      </c>
      <c r="G71" s="5" t="str">
        <f>"刘开英"</f>
        <v>刘开英</v>
      </c>
      <c r="H71" s="5" t="str">
        <f>"112001119"</f>
        <v>112001119</v>
      </c>
      <c r="I71" s="5">
        <v>86</v>
      </c>
      <c r="J71" s="5"/>
    </row>
    <row r="72" s="1" customFormat="1" spans="1:10">
      <c r="A72" s="5">
        <v>69</v>
      </c>
      <c r="B72" s="5" t="s">
        <v>16</v>
      </c>
      <c r="C72" s="5" t="s">
        <v>17</v>
      </c>
      <c r="D72" s="5" t="str">
        <f t="shared" si="1"/>
        <v>20220202001</v>
      </c>
      <c r="E72" s="5">
        <v>2</v>
      </c>
      <c r="F72" s="5" t="s">
        <v>14</v>
      </c>
      <c r="G72" s="5" t="str">
        <f>"孙妍琳"</f>
        <v>孙妍琳</v>
      </c>
      <c r="H72" s="5" t="str">
        <f>"112000126"</f>
        <v>112000126</v>
      </c>
      <c r="I72" s="5">
        <v>85.84</v>
      </c>
      <c r="J72" s="5"/>
    </row>
    <row r="73" s="1" customFormat="1" spans="1:10">
      <c r="A73" s="5">
        <v>70</v>
      </c>
      <c r="B73" s="5" t="s">
        <v>16</v>
      </c>
      <c r="C73" s="5" t="s">
        <v>17</v>
      </c>
      <c r="D73" s="5" t="str">
        <f t="shared" si="1"/>
        <v>20220202001</v>
      </c>
      <c r="E73" s="5">
        <v>2</v>
      </c>
      <c r="F73" s="5" t="s">
        <v>14</v>
      </c>
      <c r="G73" s="5" t="str">
        <f>"张程"</f>
        <v>张程</v>
      </c>
      <c r="H73" s="5" t="str">
        <f>"112001820"</f>
        <v>112001820</v>
      </c>
      <c r="I73" s="5">
        <v>85.68</v>
      </c>
      <c r="J73" s="5"/>
    </row>
    <row r="74" s="1" customFormat="1" spans="1:10">
      <c r="A74" s="5">
        <v>71</v>
      </c>
      <c r="B74" s="5" t="s">
        <v>16</v>
      </c>
      <c r="C74" s="5" t="s">
        <v>17</v>
      </c>
      <c r="D74" s="5" t="str">
        <f t="shared" si="1"/>
        <v>20220202001</v>
      </c>
      <c r="E74" s="5">
        <v>2</v>
      </c>
      <c r="F74" s="5" t="s">
        <v>14</v>
      </c>
      <c r="G74" s="5" t="str">
        <f>"龚田甜"</f>
        <v>龚田甜</v>
      </c>
      <c r="H74" s="5" t="str">
        <f>"112000729"</f>
        <v>112000729</v>
      </c>
      <c r="I74" s="5">
        <v>85.6</v>
      </c>
      <c r="J74" s="5"/>
    </row>
    <row r="75" s="1" customFormat="1" spans="1:10">
      <c r="A75" s="5">
        <v>72</v>
      </c>
      <c r="B75" s="5" t="s">
        <v>16</v>
      </c>
      <c r="C75" s="5" t="s">
        <v>17</v>
      </c>
      <c r="D75" s="5" t="str">
        <f t="shared" si="1"/>
        <v>20220202001</v>
      </c>
      <c r="E75" s="5">
        <v>2</v>
      </c>
      <c r="F75" s="5" t="s">
        <v>14</v>
      </c>
      <c r="G75" s="5" t="str">
        <f>"刘翩翩"</f>
        <v>刘翩翩</v>
      </c>
      <c r="H75" s="5" t="str">
        <f>"112001919"</f>
        <v>112001919</v>
      </c>
      <c r="I75" s="5">
        <v>85.2</v>
      </c>
      <c r="J75" s="5"/>
    </row>
    <row r="76" s="1" customFormat="1" spans="1:10">
      <c r="A76" s="5">
        <v>73</v>
      </c>
      <c r="B76" s="5" t="s">
        <v>16</v>
      </c>
      <c r="C76" s="5" t="s">
        <v>17</v>
      </c>
      <c r="D76" s="5" t="str">
        <f t="shared" si="1"/>
        <v>20220202001</v>
      </c>
      <c r="E76" s="5">
        <v>2</v>
      </c>
      <c r="F76" s="5" t="s">
        <v>14</v>
      </c>
      <c r="G76" s="5" t="str">
        <f>"卢翔宇"</f>
        <v>卢翔宇</v>
      </c>
      <c r="H76" s="5" t="str">
        <f>"112001923"</f>
        <v>112001923</v>
      </c>
      <c r="I76" s="5">
        <v>85.16</v>
      </c>
      <c r="J76" s="5"/>
    </row>
    <row r="77" s="1" customFormat="1" spans="1:10">
      <c r="A77" s="5">
        <v>74</v>
      </c>
      <c r="B77" s="5" t="s">
        <v>16</v>
      </c>
      <c r="C77" s="5" t="s">
        <v>17</v>
      </c>
      <c r="D77" s="5" t="str">
        <f t="shared" si="1"/>
        <v>20220202001</v>
      </c>
      <c r="E77" s="5">
        <v>2</v>
      </c>
      <c r="F77" s="5" t="s">
        <v>14</v>
      </c>
      <c r="G77" s="5" t="str">
        <f>"陶沛"</f>
        <v>陶沛</v>
      </c>
      <c r="H77" s="5" t="str">
        <f>"112001922"</f>
        <v>112001922</v>
      </c>
      <c r="I77" s="5">
        <v>85.12</v>
      </c>
      <c r="J77" s="5"/>
    </row>
    <row r="78" s="1" customFormat="1" spans="1:10">
      <c r="A78" s="5">
        <v>75</v>
      </c>
      <c r="B78" s="5" t="s">
        <v>16</v>
      </c>
      <c r="C78" s="5" t="s">
        <v>17</v>
      </c>
      <c r="D78" s="5" t="str">
        <f t="shared" si="1"/>
        <v>20220202001</v>
      </c>
      <c r="E78" s="5">
        <v>2</v>
      </c>
      <c r="F78" s="5" t="s">
        <v>14</v>
      </c>
      <c r="G78" s="5" t="str">
        <f>"魏妮"</f>
        <v>魏妮</v>
      </c>
      <c r="H78" s="5" t="str">
        <f>"112001424"</f>
        <v>112001424</v>
      </c>
      <c r="I78" s="5">
        <v>84.56</v>
      </c>
      <c r="J78" s="5"/>
    </row>
    <row r="79" s="1" customFormat="1" spans="1:10">
      <c r="A79" s="5">
        <v>76</v>
      </c>
      <c r="B79" s="5" t="s">
        <v>16</v>
      </c>
      <c r="C79" s="5" t="s">
        <v>17</v>
      </c>
      <c r="D79" s="5" t="str">
        <f t="shared" si="1"/>
        <v>20220202001</v>
      </c>
      <c r="E79" s="5">
        <v>2</v>
      </c>
      <c r="F79" s="5" t="s">
        <v>14</v>
      </c>
      <c r="G79" s="5" t="str">
        <f>"张文涛"</f>
        <v>张文涛</v>
      </c>
      <c r="H79" s="5" t="str">
        <f>"112001103"</f>
        <v>112001103</v>
      </c>
      <c r="I79" s="5">
        <v>84.08</v>
      </c>
      <c r="J79" s="5"/>
    </row>
    <row r="80" s="1" customFormat="1" spans="1:10">
      <c r="A80" s="5">
        <v>77</v>
      </c>
      <c r="B80" s="5" t="s">
        <v>16</v>
      </c>
      <c r="C80" s="5" t="s">
        <v>17</v>
      </c>
      <c r="D80" s="5" t="str">
        <f t="shared" si="1"/>
        <v>20220202001</v>
      </c>
      <c r="E80" s="5">
        <v>2</v>
      </c>
      <c r="F80" s="5" t="s">
        <v>14</v>
      </c>
      <c r="G80" s="5" t="str">
        <f>"周钰沣"</f>
        <v>周钰沣</v>
      </c>
      <c r="H80" s="5" t="str">
        <f>"112001722"</f>
        <v>112001722</v>
      </c>
      <c r="I80" s="5">
        <v>83.76</v>
      </c>
      <c r="J80" s="5"/>
    </row>
    <row r="81" s="1" customFormat="1" spans="1:10">
      <c r="A81" s="5">
        <v>78</v>
      </c>
      <c r="B81" s="5" t="s">
        <v>16</v>
      </c>
      <c r="C81" s="5" t="s">
        <v>17</v>
      </c>
      <c r="D81" s="5" t="str">
        <f t="shared" si="1"/>
        <v>20220202001</v>
      </c>
      <c r="E81" s="5">
        <v>2</v>
      </c>
      <c r="F81" s="5" t="s">
        <v>14</v>
      </c>
      <c r="G81" s="5" t="str">
        <f>"曾武"</f>
        <v>曾武</v>
      </c>
      <c r="H81" s="5" t="str">
        <f>"112001803"</f>
        <v>112001803</v>
      </c>
      <c r="I81" s="5">
        <v>83.4</v>
      </c>
      <c r="J81" s="5"/>
    </row>
    <row r="82" s="1" customFormat="1" spans="1:10">
      <c r="A82" s="5">
        <v>79</v>
      </c>
      <c r="B82" s="5" t="s">
        <v>16</v>
      </c>
      <c r="C82" s="5" t="s">
        <v>17</v>
      </c>
      <c r="D82" s="5" t="str">
        <f t="shared" si="1"/>
        <v>20220202001</v>
      </c>
      <c r="E82" s="5">
        <v>2</v>
      </c>
      <c r="F82" s="5" t="s">
        <v>14</v>
      </c>
      <c r="G82" s="5" t="str">
        <f>"杨顺舸"</f>
        <v>杨顺舸</v>
      </c>
      <c r="H82" s="5" t="str">
        <f>"112000209"</f>
        <v>112000209</v>
      </c>
      <c r="I82" s="5">
        <v>82.8</v>
      </c>
      <c r="J82" s="5"/>
    </row>
    <row r="83" s="1" customFormat="1" spans="1:10">
      <c r="A83" s="5">
        <v>80</v>
      </c>
      <c r="B83" s="5" t="s">
        <v>16</v>
      </c>
      <c r="C83" s="5" t="s">
        <v>17</v>
      </c>
      <c r="D83" s="5" t="str">
        <f t="shared" si="1"/>
        <v>20220202001</v>
      </c>
      <c r="E83" s="5">
        <v>2</v>
      </c>
      <c r="F83" s="5" t="s">
        <v>14</v>
      </c>
      <c r="G83" s="5" t="str">
        <f>"艾欣"</f>
        <v>艾欣</v>
      </c>
      <c r="H83" s="5" t="str">
        <f>"112001321"</f>
        <v>112001321</v>
      </c>
      <c r="I83" s="5">
        <v>82.56</v>
      </c>
      <c r="J83" s="5"/>
    </row>
    <row r="84" s="1" customFormat="1" spans="1:10">
      <c r="A84" s="5">
        <v>81</v>
      </c>
      <c r="B84" s="5" t="s">
        <v>16</v>
      </c>
      <c r="C84" s="5" t="s">
        <v>17</v>
      </c>
      <c r="D84" s="5" t="str">
        <f t="shared" si="1"/>
        <v>20220202001</v>
      </c>
      <c r="E84" s="5">
        <v>2</v>
      </c>
      <c r="F84" s="5" t="s">
        <v>14</v>
      </c>
      <c r="G84" s="5" t="str">
        <f>"彭湃"</f>
        <v>彭湃</v>
      </c>
      <c r="H84" s="5" t="str">
        <f>"112001802"</f>
        <v>112001802</v>
      </c>
      <c r="I84" s="5">
        <v>81.32</v>
      </c>
      <c r="J84" s="5"/>
    </row>
    <row r="85" s="1" customFormat="1" spans="1:10">
      <c r="A85" s="5">
        <v>82</v>
      </c>
      <c r="B85" s="5" t="s">
        <v>16</v>
      </c>
      <c r="C85" s="5" t="s">
        <v>17</v>
      </c>
      <c r="D85" s="5" t="str">
        <f t="shared" si="1"/>
        <v>20220202001</v>
      </c>
      <c r="E85" s="5">
        <v>2</v>
      </c>
      <c r="F85" s="5" t="s">
        <v>14</v>
      </c>
      <c r="G85" s="5" t="str">
        <f>"郭晓双"</f>
        <v>郭晓双</v>
      </c>
      <c r="H85" s="5" t="str">
        <f>"112001725"</f>
        <v>112001725</v>
      </c>
      <c r="I85" s="5">
        <v>81.28</v>
      </c>
      <c r="J85" s="5"/>
    </row>
    <row r="86" s="1" customFormat="1" spans="1:10">
      <c r="A86" s="5">
        <v>83</v>
      </c>
      <c r="B86" s="5" t="s">
        <v>16</v>
      </c>
      <c r="C86" s="5" t="s">
        <v>17</v>
      </c>
      <c r="D86" s="5" t="str">
        <f t="shared" si="1"/>
        <v>20220202001</v>
      </c>
      <c r="E86" s="5">
        <v>2</v>
      </c>
      <c r="F86" s="5" t="s">
        <v>14</v>
      </c>
      <c r="G86" s="5" t="str">
        <f>"徐阳"</f>
        <v>徐阳</v>
      </c>
      <c r="H86" s="5" t="str">
        <f>"112000504"</f>
        <v>112000504</v>
      </c>
      <c r="I86" s="5">
        <v>80.72</v>
      </c>
      <c r="J86" s="5"/>
    </row>
    <row r="87" s="1" customFormat="1" spans="1:10">
      <c r="A87" s="5">
        <v>84</v>
      </c>
      <c r="B87" s="5" t="s">
        <v>16</v>
      </c>
      <c r="C87" s="5" t="s">
        <v>17</v>
      </c>
      <c r="D87" s="5" t="str">
        <f t="shared" si="1"/>
        <v>20220202001</v>
      </c>
      <c r="E87" s="5">
        <v>2</v>
      </c>
      <c r="F87" s="5" t="s">
        <v>14</v>
      </c>
      <c r="G87" s="5" t="str">
        <f>"舒武琴"</f>
        <v>舒武琴</v>
      </c>
      <c r="H87" s="5" t="str">
        <f>"112001127"</f>
        <v>112001127</v>
      </c>
      <c r="I87" s="5">
        <v>80.36</v>
      </c>
      <c r="J87" s="5"/>
    </row>
    <row r="88" s="1" customFormat="1" spans="1:10">
      <c r="A88" s="5">
        <v>85</v>
      </c>
      <c r="B88" s="5" t="s">
        <v>16</v>
      </c>
      <c r="C88" s="5" t="s">
        <v>17</v>
      </c>
      <c r="D88" s="5" t="str">
        <f t="shared" si="1"/>
        <v>20220202001</v>
      </c>
      <c r="E88" s="5">
        <v>2</v>
      </c>
      <c r="F88" s="5" t="s">
        <v>14</v>
      </c>
      <c r="G88" s="5" t="str">
        <f>"刘畅"</f>
        <v>刘畅</v>
      </c>
      <c r="H88" s="5" t="str">
        <f>"112000821"</f>
        <v>112000821</v>
      </c>
      <c r="I88" s="5">
        <v>80.12</v>
      </c>
      <c r="J88" s="5"/>
    </row>
    <row r="89" s="1" customFormat="1" spans="1:10">
      <c r="A89" s="5">
        <v>86</v>
      </c>
      <c r="B89" s="5" t="s">
        <v>16</v>
      </c>
      <c r="C89" s="5" t="s">
        <v>17</v>
      </c>
      <c r="D89" s="5" t="str">
        <f t="shared" si="1"/>
        <v>20220202001</v>
      </c>
      <c r="E89" s="5">
        <v>2</v>
      </c>
      <c r="F89" s="5" t="s">
        <v>14</v>
      </c>
      <c r="G89" s="5" t="str">
        <f>"袁艺"</f>
        <v>袁艺</v>
      </c>
      <c r="H89" s="5" t="str">
        <f>"112001809"</f>
        <v>112001809</v>
      </c>
      <c r="I89" s="5">
        <v>79.44</v>
      </c>
      <c r="J89" s="5"/>
    </row>
    <row r="90" s="1" customFormat="1" spans="1:10">
      <c r="A90" s="5">
        <v>87</v>
      </c>
      <c r="B90" s="5" t="s">
        <v>16</v>
      </c>
      <c r="C90" s="5" t="s">
        <v>17</v>
      </c>
      <c r="D90" s="5" t="str">
        <f t="shared" ref="D90:D153" si="2">"20220202001"</f>
        <v>20220202001</v>
      </c>
      <c r="E90" s="5">
        <v>2</v>
      </c>
      <c r="F90" s="5" t="s">
        <v>14</v>
      </c>
      <c r="G90" s="5" t="str">
        <f>"徐丽芳"</f>
        <v>徐丽芳</v>
      </c>
      <c r="H90" s="5" t="str">
        <f>"112001807"</f>
        <v>112001807</v>
      </c>
      <c r="I90" s="5">
        <v>79</v>
      </c>
      <c r="J90" s="5"/>
    </row>
    <row r="91" s="1" customFormat="1" spans="1:10">
      <c r="A91" s="5">
        <v>88</v>
      </c>
      <c r="B91" s="5" t="s">
        <v>16</v>
      </c>
      <c r="C91" s="5" t="s">
        <v>17</v>
      </c>
      <c r="D91" s="5" t="str">
        <f t="shared" si="2"/>
        <v>20220202001</v>
      </c>
      <c r="E91" s="5">
        <v>2</v>
      </c>
      <c r="F91" s="5" t="s">
        <v>14</v>
      </c>
      <c r="G91" s="5" t="str">
        <f>"余锦何"</f>
        <v>余锦何</v>
      </c>
      <c r="H91" s="5" t="str">
        <f>"112000423"</f>
        <v>112000423</v>
      </c>
      <c r="I91" s="5">
        <v>78.72</v>
      </c>
      <c r="J91" s="5"/>
    </row>
    <row r="92" s="1" customFormat="1" spans="1:10">
      <c r="A92" s="5">
        <v>89</v>
      </c>
      <c r="B92" s="5" t="s">
        <v>16</v>
      </c>
      <c r="C92" s="5" t="s">
        <v>17</v>
      </c>
      <c r="D92" s="5" t="str">
        <f t="shared" si="2"/>
        <v>20220202001</v>
      </c>
      <c r="E92" s="5">
        <v>2</v>
      </c>
      <c r="F92" s="5" t="s">
        <v>14</v>
      </c>
      <c r="G92" s="5" t="str">
        <f>"姬雅君"</f>
        <v>姬雅君</v>
      </c>
      <c r="H92" s="5" t="str">
        <f>"112000910"</f>
        <v>112000910</v>
      </c>
      <c r="I92" s="5">
        <v>78.68</v>
      </c>
      <c r="J92" s="5"/>
    </row>
    <row r="93" s="1" customFormat="1" spans="1:10">
      <c r="A93" s="5">
        <v>90</v>
      </c>
      <c r="B93" s="5" t="s">
        <v>16</v>
      </c>
      <c r="C93" s="5" t="s">
        <v>17</v>
      </c>
      <c r="D93" s="5" t="str">
        <f t="shared" si="2"/>
        <v>20220202001</v>
      </c>
      <c r="E93" s="5">
        <v>2</v>
      </c>
      <c r="F93" s="5" t="s">
        <v>14</v>
      </c>
      <c r="G93" s="5" t="str">
        <f>"金秋潼"</f>
        <v>金秋潼</v>
      </c>
      <c r="H93" s="5" t="str">
        <f>"112000829"</f>
        <v>112000829</v>
      </c>
      <c r="I93" s="5">
        <v>78.2</v>
      </c>
      <c r="J93" s="5"/>
    </row>
    <row r="94" s="1" customFormat="1" spans="1:10">
      <c r="A94" s="5">
        <v>91</v>
      </c>
      <c r="B94" s="5" t="s">
        <v>16</v>
      </c>
      <c r="C94" s="5" t="s">
        <v>17</v>
      </c>
      <c r="D94" s="5" t="str">
        <f t="shared" si="2"/>
        <v>20220202001</v>
      </c>
      <c r="E94" s="5">
        <v>2</v>
      </c>
      <c r="F94" s="5" t="s">
        <v>14</v>
      </c>
      <c r="G94" s="5" t="str">
        <f>"杨珊"</f>
        <v>杨珊</v>
      </c>
      <c r="H94" s="5" t="str">
        <f>"112001022"</f>
        <v>112001022</v>
      </c>
      <c r="I94" s="5">
        <v>78.16</v>
      </c>
      <c r="J94" s="5"/>
    </row>
    <row r="95" s="1" customFormat="1" spans="1:10">
      <c r="A95" s="5">
        <v>92</v>
      </c>
      <c r="B95" s="5" t="s">
        <v>16</v>
      </c>
      <c r="C95" s="5" t="s">
        <v>17</v>
      </c>
      <c r="D95" s="5" t="str">
        <f t="shared" si="2"/>
        <v>20220202001</v>
      </c>
      <c r="E95" s="5">
        <v>2</v>
      </c>
      <c r="F95" s="5" t="s">
        <v>14</v>
      </c>
      <c r="G95" s="5" t="str">
        <f>"贾家妮"</f>
        <v>贾家妮</v>
      </c>
      <c r="H95" s="5" t="str">
        <f>"112001903"</f>
        <v>112001903</v>
      </c>
      <c r="I95" s="5">
        <v>78</v>
      </c>
      <c r="J95" s="5"/>
    </row>
    <row r="96" s="1" customFormat="1" spans="1:10">
      <c r="A96" s="5">
        <v>93</v>
      </c>
      <c r="B96" s="5" t="s">
        <v>16</v>
      </c>
      <c r="C96" s="5" t="s">
        <v>17</v>
      </c>
      <c r="D96" s="5" t="str">
        <f t="shared" si="2"/>
        <v>20220202001</v>
      </c>
      <c r="E96" s="5">
        <v>2</v>
      </c>
      <c r="F96" s="5" t="s">
        <v>14</v>
      </c>
      <c r="G96" s="5" t="str">
        <f>"江鑫"</f>
        <v>江鑫</v>
      </c>
      <c r="H96" s="5" t="str">
        <f>"112000215"</f>
        <v>112000215</v>
      </c>
      <c r="I96" s="5">
        <v>77.84</v>
      </c>
      <c r="J96" s="5"/>
    </row>
    <row r="97" s="1" customFormat="1" spans="1:10">
      <c r="A97" s="5">
        <v>94</v>
      </c>
      <c r="B97" s="5" t="s">
        <v>16</v>
      </c>
      <c r="C97" s="5" t="s">
        <v>17</v>
      </c>
      <c r="D97" s="5" t="str">
        <f t="shared" si="2"/>
        <v>20220202001</v>
      </c>
      <c r="E97" s="5">
        <v>2</v>
      </c>
      <c r="F97" s="5" t="s">
        <v>14</v>
      </c>
      <c r="G97" s="5" t="str">
        <f>"张浩"</f>
        <v>张浩</v>
      </c>
      <c r="H97" s="5" t="str">
        <f>"112000911"</f>
        <v>112000911</v>
      </c>
      <c r="I97" s="5">
        <v>77.76</v>
      </c>
      <c r="J97" s="5"/>
    </row>
    <row r="98" s="1" customFormat="1" spans="1:10">
      <c r="A98" s="5">
        <v>95</v>
      </c>
      <c r="B98" s="5" t="s">
        <v>16</v>
      </c>
      <c r="C98" s="5" t="s">
        <v>17</v>
      </c>
      <c r="D98" s="5" t="str">
        <f t="shared" si="2"/>
        <v>20220202001</v>
      </c>
      <c r="E98" s="5">
        <v>2</v>
      </c>
      <c r="F98" s="5" t="s">
        <v>14</v>
      </c>
      <c r="G98" s="5" t="str">
        <f>"李丽娟"</f>
        <v>李丽娟</v>
      </c>
      <c r="H98" s="5" t="str">
        <f>"112000901"</f>
        <v>112000901</v>
      </c>
      <c r="I98" s="5">
        <v>77.48</v>
      </c>
      <c r="J98" s="5"/>
    </row>
    <row r="99" s="1" customFormat="1" spans="1:10">
      <c r="A99" s="5">
        <v>96</v>
      </c>
      <c r="B99" s="5" t="s">
        <v>16</v>
      </c>
      <c r="C99" s="5" t="s">
        <v>17</v>
      </c>
      <c r="D99" s="5" t="str">
        <f t="shared" si="2"/>
        <v>20220202001</v>
      </c>
      <c r="E99" s="5">
        <v>2</v>
      </c>
      <c r="F99" s="5" t="s">
        <v>14</v>
      </c>
      <c r="G99" s="5" t="str">
        <f>"李平"</f>
        <v>李平</v>
      </c>
      <c r="H99" s="5" t="str">
        <f>"112000928"</f>
        <v>112000928</v>
      </c>
      <c r="I99" s="5">
        <v>77.36</v>
      </c>
      <c r="J99" s="5"/>
    </row>
    <row r="100" s="1" customFormat="1" spans="1:10">
      <c r="A100" s="5">
        <v>97</v>
      </c>
      <c r="B100" s="5" t="s">
        <v>16</v>
      </c>
      <c r="C100" s="5" t="s">
        <v>17</v>
      </c>
      <c r="D100" s="5" t="str">
        <f t="shared" si="2"/>
        <v>20220202001</v>
      </c>
      <c r="E100" s="5">
        <v>2</v>
      </c>
      <c r="F100" s="5" t="s">
        <v>14</v>
      </c>
      <c r="G100" s="5" t="str">
        <f>"武曼晶"</f>
        <v>武曼晶</v>
      </c>
      <c r="H100" s="5" t="str">
        <f>"112000808"</f>
        <v>112000808</v>
      </c>
      <c r="I100" s="5">
        <v>76.88</v>
      </c>
      <c r="J100" s="5"/>
    </row>
    <row r="101" s="1" customFormat="1" spans="1:10">
      <c r="A101" s="5">
        <v>98</v>
      </c>
      <c r="B101" s="5" t="s">
        <v>16</v>
      </c>
      <c r="C101" s="5" t="s">
        <v>17</v>
      </c>
      <c r="D101" s="5" t="str">
        <f t="shared" si="2"/>
        <v>20220202001</v>
      </c>
      <c r="E101" s="5">
        <v>2</v>
      </c>
      <c r="F101" s="5" t="s">
        <v>14</v>
      </c>
      <c r="G101" s="5" t="str">
        <f>"蒋婷婷"</f>
        <v>蒋婷婷</v>
      </c>
      <c r="H101" s="5" t="str">
        <f>"112001805"</f>
        <v>112001805</v>
      </c>
      <c r="I101" s="5">
        <v>76.6</v>
      </c>
      <c r="J101" s="5"/>
    </row>
    <row r="102" s="1" customFormat="1" spans="1:10">
      <c r="A102" s="5">
        <v>99</v>
      </c>
      <c r="B102" s="5" t="s">
        <v>16</v>
      </c>
      <c r="C102" s="5" t="s">
        <v>17</v>
      </c>
      <c r="D102" s="5" t="str">
        <f t="shared" si="2"/>
        <v>20220202001</v>
      </c>
      <c r="E102" s="5">
        <v>2</v>
      </c>
      <c r="F102" s="5" t="s">
        <v>14</v>
      </c>
      <c r="G102" s="5" t="str">
        <f>"邹毅"</f>
        <v>邹毅</v>
      </c>
      <c r="H102" s="5" t="str">
        <f>"112001626"</f>
        <v>112001626</v>
      </c>
      <c r="I102" s="5">
        <v>76.32</v>
      </c>
      <c r="J102" s="5"/>
    </row>
    <row r="103" s="1" customFormat="1" spans="1:10">
      <c r="A103" s="5">
        <v>100</v>
      </c>
      <c r="B103" s="5" t="s">
        <v>16</v>
      </c>
      <c r="C103" s="5" t="s">
        <v>17</v>
      </c>
      <c r="D103" s="5" t="str">
        <f t="shared" si="2"/>
        <v>20220202001</v>
      </c>
      <c r="E103" s="5">
        <v>2</v>
      </c>
      <c r="F103" s="5" t="s">
        <v>14</v>
      </c>
      <c r="G103" s="5" t="str">
        <f>"杨默"</f>
        <v>杨默</v>
      </c>
      <c r="H103" s="5" t="str">
        <f>"112000210"</f>
        <v>112000210</v>
      </c>
      <c r="I103" s="5">
        <v>76.04</v>
      </c>
      <c r="J103" s="5"/>
    </row>
    <row r="104" s="1" customFormat="1" spans="1:10">
      <c r="A104" s="5">
        <v>101</v>
      </c>
      <c r="B104" s="5" t="s">
        <v>16</v>
      </c>
      <c r="C104" s="5" t="s">
        <v>17</v>
      </c>
      <c r="D104" s="5" t="str">
        <f t="shared" si="2"/>
        <v>20220202001</v>
      </c>
      <c r="E104" s="5">
        <v>2</v>
      </c>
      <c r="F104" s="5" t="s">
        <v>14</v>
      </c>
      <c r="G104" s="5" t="str">
        <f>"宋永正"</f>
        <v>宋永正</v>
      </c>
      <c r="H104" s="5" t="str">
        <f>"112001211"</f>
        <v>112001211</v>
      </c>
      <c r="I104" s="5">
        <v>75.12</v>
      </c>
      <c r="J104" s="5"/>
    </row>
    <row r="105" s="1" customFormat="1" spans="1:10">
      <c r="A105" s="5">
        <v>102</v>
      </c>
      <c r="B105" s="5" t="s">
        <v>16</v>
      </c>
      <c r="C105" s="5" t="s">
        <v>17</v>
      </c>
      <c r="D105" s="5" t="str">
        <f t="shared" si="2"/>
        <v>20220202001</v>
      </c>
      <c r="E105" s="5">
        <v>2</v>
      </c>
      <c r="F105" s="5" t="s">
        <v>14</v>
      </c>
      <c r="G105" s="5" t="str">
        <f>"郭康玲"</f>
        <v>郭康玲</v>
      </c>
      <c r="H105" s="5" t="str">
        <f>"112000923"</f>
        <v>112000923</v>
      </c>
      <c r="I105" s="5">
        <v>75.08</v>
      </c>
      <c r="J105" s="5"/>
    </row>
    <row r="106" s="1" customFormat="1" spans="1:10">
      <c r="A106" s="5">
        <v>103</v>
      </c>
      <c r="B106" s="5" t="s">
        <v>16</v>
      </c>
      <c r="C106" s="5" t="s">
        <v>17</v>
      </c>
      <c r="D106" s="5" t="str">
        <f t="shared" si="2"/>
        <v>20220202001</v>
      </c>
      <c r="E106" s="5">
        <v>2</v>
      </c>
      <c r="F106" s="5" t="s">
        <v>14</v>
      </c>
      <c r="G106" s="5" t="str">
        <f>"孙婉萍"</f>
        <v>孙婉萍</v>
      </c>
      <c r="H106" s="5" t="str">
        <f>"112000324"</f>
        <v>112000324</v>
      </c>
      <c r="I106" s="5">
        <v>73.88</v>
      </c>
      <c r="J106" s="5"/>
    </row>
    <row r="107" s="1" customFormat="1" spans="1:10">
      <c r="A107" s="5">
        <v>104</v>
      </c>
      <c r="B107" s="5" t="s">
        <v>16</v>
      </c>
      <c r="C107" s="5" t="s">
        <v>17</v>
      </c>
      <c r="D107" s="5" t="str">
        <f t="shared" si="2"/>
        <v>20220202001</v>
      </c>
      <c r="E107" s="5">
        <v>2</v>
      </c>
      <c r="F107" s="5" t="s">
        <v>14</v>
      </c>
      <c r="G107" s="5" t="str">
        <f>"唐连英"</f>
        <v>唐连英</v>
      </c>
      <c r="H107" s="5" t="str">
        <f>"112000117"</f>
        <v>112000117</v>
      </c>
      <c r="I107" s="5">
        <v>73.76</v>
      </c>
      <c r="J107" s="5"/>
    </row>
    <row r="108" s="1" customFormat="1" spans="1:10">
      <c r="A108" s="5">
        <v>105</v>
      </c>
      <c r="B108" s="5" t="s">
        <v>16</v>
      </c>
      <c r="C108" s="5" t="s">
        <v>17</v>
      </c>
      <c r="D108" s="5" t="str">
        <f t="shared" si="2"/>
        <v>20220202001</v>
      </c>
      <c r="E108" s="5">
        <v>2</v>
      </c>
      <c r="F108" s="5" t="s">
        <v>14</v>
      </c>
      <c r="G108" s="5" t="str">
        <f>"刘晨"</f>
        <v>刘晨</v>
      </c>
      <c r="H108" s="5" t="str">
        <f>"112001410"</f>
        <v>112001410</v>
      </c>
      <c r="I108" s="5">
        <v>73.56</v>
      </c>
      <c r="J108" s="5"/>
    </row>
    <row r="109" s="1" customFormat="1" spans="1:10">
      <c r="A109" s="5">
        <v>106</v>
      </c>
      <c r="B109" s="5" t="s">
        <v>16</v>
      </c>
      <c r="C109" s="5" t="s">
        <v>17</v>
      </c>
      <c r="D109" s="5" t="str">
        <f t="shared" si="2"/>
        <v>20220202001</v>
      </c>
      <c r="E109" s="5">
        <v>2</v>
      </c>
      <c r="F109" s="5" t="s">
        <v>14</v>
      </c>
      <c r="G109" s="5" t="str">
        <f>"王牵云"</f>
        <v>王牵云</v>
      </c>
      <c r="H109" s="5" t="str">
        <f>"112001624"</f>
        <v>112001624</v>
      </c>
      <c r="I109" s="5">
        <v>70.16</v>
      </c>
      <c r="J109" s="5"/>
    </row>
    <row r="110" s="1" customFormat="1" spans="1:10">
      <c r="A110" s="5">
        <v>107</v>
      </c>
      <c r="B110" s="5" t="s">
        <v>16</v>
      </c>
      <c r="C110" s="5" t="s">
        <v>17</v>
      </c>
      <c r="D110" s="5" t="str">
        <f t="shared" si="2"/>
        <v>20220202001</v>
      </c>
      <c r="E110" s="5">
        <v>2</v>
      </c>
      <c r="F110" s="5" t="s">
        <v>14</v>
      </c>
      <c r="G110" s="5" t="str">
        <f>"方穗荣"</f>
        <v>方穗荣</v>
      </c>
      <c r="H110" s="5" t="str">
        <f>"112000314"</f>
        <v>112000314</v>
      </c>
      <c r="I110" s="5">
        <v>68.8</v>
      </c>
      <c r="J110" s="5"/>
    </row>
    <row r="111" s="1" customFormat="1" spans="1:10">
      <c r="A111" s="5">
        <v>108</v>
      </c>
      <c r="B111" s="5" t="s">
        <v>16</v>
      </c>
      <c r="C111" s="5" t="s">
        <v>17</v>
      </c>
      <c r="D111" s="5" t="str">
        <f t="shared" si="2"/>
        <v>20220202001</v>
      </c>
      <c r="E111" s="5">
        <v>2</v>
      </c>
      <c r="F111" s="5" t="s">
        <v>14</v>
      </c>
      <c r="G111" s="5" t="str">
        <f>"柏玲"</f>
        <v>柏玲</v>
      </c>
      <c r="H111" s="5" t="str">
        <f>"112001404"</f>
        <v>112001404</v>
      </c>
      <c r="I111" s="5">
        <v>68.24</v>
      </c>
      <c r="J111" s="5"/>
    </row>
    <row r="112" s="1" customFormat="1" spans="1:10">
      <c r="A112" s="5">
        <v>109</v>
      </c>
      <c r="B112" s="5" t="s">
        <v>16</v>
      </c>
      <c r="C112" s="5" t="s">
        <v>17</v>
      </c>
      <c r="D112" s="5" t="str">
        <f t="shared" si="2"/>
        <v>20220202001</v>
      </c>
      <c r="E112" s="5">
        <v>2</v>
      </c>
      <c r="F112" s="5" t="s">
        <v>14</v>
      </c>
      <c r="G112" s="5" t="str">
        <f>"高艳"</f>
        <v>高艳</v>
      </c>
      <c r="H112" s="5" t="str">
        <f>"112000926"</f>
        <v>112000926</v>
      </c>
      <c r="I112" s="5">
        <v>68.16</v>
      </c>
      <c r="J112" s="5"/>
    </row>
    <row r="113" s="1" customFormat="1" spans="1:10">
      <c r="A113" s="5">
        <v>110</v>
      </c>
      <c r="B113" s="5" t="s">
        <v>16</v>
      </c>
      <c r="C113" s="5" t="s">
        <v>17</v>
      </c>
      <c r="D113" s="5" t="str">
        <f t="shared" si="2"/>
        <v>20220202001</v>
      </c>
      <c r="E113" s="5">
        <v>2</v>
      </c>
      <c r="F113" s="5" t="s">
        <v>14</v>
      </c>
      <c r="G113" s="5" t="str">
        <f>"熊诗琪"</f>
        <v>熊诗琪</v>
      </c>
      <c r="H113" s="5" t="str">
        <f>"112001427"</f>
        <v>112001427</v>
      </c>
      <c r="I113" s="5">
        <v>66.4</v>
      </c>
      <c r="J113" s="5"/>
    </row>
    <row r="114" s="1" customFormat="1" spans="1:10">
      <c r="A114" s="5">
        <v>111</v>
      </c>
      <c r="B114" s="5" t="s">
        <v>16</v>
      </c>
      <c r="C114" s="5" t="s">
        <v>17</v>
      </c>
      <c r="D114" s="5" t="str">
        <f t="shared" si="2"/>
        <v>20220202001</v>
      </c>
      <c r="E114" s="5">
        <v>2</v>
      </c>
      <c r="F114" s="5" t="s">
        <v>14</v>
      </c>
      <c r="G114" s="5" t="str">
        <f>"胡若渲"</f>
        <v>胡若渲</v>
      </c>
      <c r="H114" s="5" t="str">
        <f>"112000107"</f>
        <v>112000107</v>
      </c>
      <c r="I114" s="5">
        <v>0</v>
      </c>
      <c r="J114" s="5" t="s">
        <v>15</v>
      </c>
    </row>
    <row r="115" s="1" customFormat="1" spans="1:10">
      <c r="A115" s="5">
        <v>112</v>
      </c>
      <c r="B115" s="5" t="s">
        <v>16</v>
      </c>
      <c r="C115" s="5" t="s">
        <v>17</v>
      </c>
      <c r="D115" s="5" t="str">
        <f t="shared" si="2"/>
        <v>20220202001</v>
      </c>
      <c r="E115" s="5">
        <v>2</v>
      </c>
      <c r="F115" s="5" t="s">
        <v>14</v>
      </c>
      <c r="G115" s="5" t="str">
        <f>"李雪梅"</f>
        <v>李雪梅</v>
      </c>
      <c r="H115" s="5" t="str">
        <f>"112000128"</f>
        <v>112000128</v>
      </c>
      <c r="I115" s="5">
        <v>0</v>
      </c>
      <c r="J115" s="5" t="s">
        <v>15</v>
      </c>
    </row>
    <row r="116" s="1" customFormat="1" spans="1:10">
      <c r="A116" s="5">
        <v>113</v>
      </c>
      <c r="B116" s="5" t="s">
        <v>16</v>
      </c>
      <c r="C116" s="5" t="s">
        <v>17</v>
      </c>
      <c r="D116" s="5" t="str">
        <f t="shared" si="2"/>
        <v>20220202001</v>
      </c>
      <c r="E116" s="5">
        <v>2</v>
      </c>
      <c r="F116" s="5" t="s">
        <v>14</v>
      </c>
      <c r="G116" s="5" t="str">
        <f>"阙凤仪"</f>
        <v>阙凤仪</v>
      </c>
      <c r="H116" s="5" t="str">
        <f>"112000216"</f>
        <v>112000216</v>
      </c>
      <c r="I116" s="5">
        <v>0</v>
      </c>
      <c r="J116" s="5" t="s">
        <v>15</v>
      </c>
    </row>
    <row r="117" s="1" customFormat="1" spans="1:10">
      <c r="A117" s="5">
        <v>114</v>
      </c>
      <c r="B117" s="5" t="s">
        <v>16</v>
      </c>
      <c r="C117" s="5" t="s">
        <v>17</v>
      </c>
      <c r="D117" s="5" t="str">
        <f t="shared" si="2"/>
        <v>20220202001</v>
      </c>
      <c r="E117" s="5">
        <v>2</v>
      </c>
      <c r="F117" s="5" t="s">
        <v>14</v>
      </c>
      <c r="G117" s="5" t="str">
        <f>"李逸心"</f>
        <v>李逸心</v>
      </c>
      <c r="H117" s="5" t="str">
        <f>"112000225"</f>
        <v>112000225</v>
      </c>
      <c r="I117" s="5">
        <v>0</v>
      </c>
      <c r="J117" s="5" t="s">
        <v>15</v>
      </c>
    </row>
    <row r="118" s="1" customFormat="1" spans="1:10">
      <c r="A118" s="5">
        <v>115</v>
      </c>
      <c r="B118" s="5" t="s">
        <v>16</v>
      </c>
      <c r="C118" s="5" t="s">
        <v>17</v>
      </c>
      <c r="D118" s="5" t="str">
        <f t="shared" si="2"/>
        <v>20220202001</v>
      </c>
      <c r="E118" s="5">
        <v>2</v>
      </c>
      <c r="F118" s="5" t="s">
        <v>14</v>
      </c>
      <c r="G118" s="5" t="str">
        <f>"刘颖"</f>
        <v>刘颖</v>
      </c>
      <c r="H118" s="5" t="str">
        <f>"112000313"</f>
        <v>112000313</v>
      </c>
      <c r="I118" s="5">
        <v>0</v>
      </c>
      <c r="J118" s="5" t="s">
        <v>15</v>
      </c>
    </row>
    <row r="119" s="1" customFormat="1" spans="1:10">
      <c r="A119" s="5">
        <v>116</v>
      </c>
      <c r="B119" s="5" t="s">
        <v>16</v>
      </c>
      <c r="C119" s="5" t="s">
        <v>17</v>
      </c>
      <c r="D119" s="5" t="str">
        <f t="shared" si="2"/>
        <v>20220202001</v>
      </c>
      <c r="E119" s="5">
        <v>2</v>
      </c>
      <c r="F119" s="5" t="s">
        <v>14</v>
      </c>
      <c r="G119" s="5" t="str">
        <f>"李安鑫"</f>
        <v>李安鑫</v>
      </c>
      <c r="H119" s="5" t="str">
        <f>"112000318"</f>
        <v>112000318</v>
      </c>
      <c r="I119" s="5">
        <v>0</v>
      </c>
      <c r="J119" s="5" t="s">
        <v>15</v>
      </c>
    </row>
    <row r="120" s="1" customFormat="1" spans="1:10">
      <c r="A120" s="5">
        <v>117</v>
      </c>
      <c r="B120" s="5" t="s">
        <v>16</v>
      </c>
      <c r="C120" s="5" t="s">
        <v>17</v>
      </c>
      <c r="D120" s="5" t="str">
        <f t="shared" si="2"/>
        <v>20220202001</v>
      </c>
      <c r="E120" s="5">
        <v>2</v>
      </c>
      <c r="F120" s="5" t="s">
        <v>14</v>
      </c>
      <c r="G120" s="5" t="str">
        <f>"石微"</f>
        <v>石微</v>
      </c>
      <c r="H120" s="5" t="str">
        <f>"112000328"</f>
        <v>112000328</v>
      </c>
      <c r="I120" s="5">
        <v>0</v>
      </c>
      <c r="J120" s="5" t="s">
        <v>15</v>
      </c>
    </row>
    <row r="121" s="1" customFormat="1" spans="1:10">
      <c r="A121" s="5">
        <v>118</v>
      </c>
      <c r="B121" s="5" t="s">
        <v>16</v>
      </c>
      <c r="C121" s="5" t="s">
        <v>17</v>
      </c>
      <c r="D121" s="5" t="str">
        <f t="shared" si="2"/>
        <v>20220202001</v>
      </c>
      <c r="E121" s="5">
        <v>2</v>
      </c>
      <c r="F121" s="5" t="s">
        <v>14</v>
      </c>
      <c r="G121" s="5" t="str">
        <f>"宋超"</f>
        <v>宋超</v>
      </c>
      <c r="H121" s="5" t="str">
        <f>"112000402"</f>
        <v>112000402</v>
      </c>
      <c r="I121" s="5">
        <v>0</v>
      </c>
      <c r="J121" s="5" t="s">
        <v>15</v>
      </c>
    </row>
    <row r="122" s="1" customFormat="1" spans="1:10">
      <c r="A122" s="5">
        <v>119</v>
      </c>
      <c r="B122" s="5" t="s">
        <v>16</v>
      </c>
      <c r="C122" s="5" t="s">
        <v>17</v>
      </c>
      <c r="D122" s="5" t="str">
        <f t="shared" si="2"/>
        <v>20220202001</v>
      </c>
      <c r="E122" s="5">
        <v>2</v>
      </c>
      <c r="F122" s="5" t="s">
        <v>14</v>
      </c>
      <c r="G122" s="5" t="str">
        <f>"高晓涵"</f>
        <v>高晓涵</v>
      </c>
      <c r="H122" s="5" t="str">
        <f>"112000405"</f>
        <v>112000405</v>
      </c>
      <c r="I122" s="5">
        <v>0</v>
      </c>
      <c r="J122" s="5" t="s">
        <v>15</v>
      </c>
    </row>
    <row r="123" s="1" customFormat="1" spans="1:10">
      <c r="A123" s="5">
        <v>120</v>
      </c>
      <c r="B123" s="5" t="s">
        <v>16</v>
      </c>
      <c r="C123" s="5" t="s">
        <v>17</v>
      </c>
      <c r="D123" s="5" t="str">
        <f t="shared" si="2"/>
        <v>20220202001</v>
      </c>
      <c r="E123" s="5">
        <v>2</v>
      </c>
      <c r="F123" s="5" t="s">
        <v>14</v>
      </c>
      <c r="G123" s="5" t="str">
        <f>"裴宇"</f>
        <v>裴宇</v>
      </c>
      <c r="H123" s="5" t="str">
        <f>"112000415"</f>
        <v>112000415</v>
      </c>
      <c r="I123" s="5">
        <v>0</v>
      </c>
      <c r="J123" s="5" t="s">
        <v>15</v>
      </c>
    </row>
    <row r="124" s="1" customFormat="1" spans="1:10">
      <c r="A124" s="5">
        <v>121</v>
      </c>
      <c r="B124" s="5" t="s">
        <v>16</v>
      </c>
      <c r="C124" s="5" t="s">
        <v>17</v>
      </c>
      <c r="D124" s="5" t="str">
        <f t="shared" si="2"/>
        <v>20220202001</v>
      </c>
      <c r="E124" s="5">
        <v>2</v>
      </c>
      <c r="F124" s="5" t="s">
        <v>14</v>
      </c>
      <c r="G124" s="5" t="str">
        <f>"刘冉"</f>
        <v>刘冉</v>
      </c>
      <c r="H124" s="5" t="str">
        <f>"112000506"</f>
        <v>112000506</v>
      </c>
      <c r="I124" s="5">
        <v>0</v>
      </c>
      <c r="J124" s="5" t="s">
        <v>15</v>
      </c>
    </row>
    <row r="125" s="1" customFormat="1" spans="1:10">
      <c r="A125" s="5">
        <v>122</v>
      </c>
      <c r="B125" s="5" t="s">
        <v>16</v>
      </c>
      <c r="C125" s="5" t="s">
        <v>17</v>
      </c>
      <c r="D125" s="5" t="str">
        <f t="shared" si="2"/>
        <v>20220202001</v>
      </c>
      <c r="E125" s="5">
        <v>2</v>
      </c>
      <c r="F125" s="5" t="s">
        <v>14</v>
      </c>
      <c r="G125" s="5" t="str">
        <f>"易巧玉"</f>
        <v>易巧玉</v>
      </c>
      <c r="H125" s="5" t="str">
        <f>"112000515"</f>
        <v>112000515</v>
      </c>
      <c r="I125" s="5">
        <v>0</v>
      </c>
      <c r="J125" s="5" t="s">
        <v>15</v>
      </c>
    </row>
    <row r="126" s="1" customFormat="1" spans="1:10">
      <c r="A126" s="5">
        <v>123</v>
      </c>
      <c r="B126" s="5" t="s">
        <v>16</v>
      </c>
      <c r="C126" s="5" t="s">
        <v>17</v>
      </c>
      <c r="D126" s="5" t="str">
        <f t="shared" si="2"/>
        <v>20220202001</v>
      </c>
      <c r="E126" s="5">
        <v>2</v>
      </c>
      <c r="F126" s="5" t="s">
        <v>14</v>
      </c>
      <c r="G126" s="5" t="str">
        <f>"杨晓悦"</f>
        <v>杨晓悦</v>
      </c>
      <c r="H126" s="5" t="str">
        <f>"112000517"</f>
        <v>112000517</v>
      </c>
      <c r="I126" s="5">
        <v>0</v>
      </c>
      <c r="J126" s="5" t="s">
        <v>15</v>
      </c>
    </row>
    <row r="127" s="1" customFormat="1" spans="1:10">
      <c r="A127" s="5">
        <v>124</v>
      </c>
      <c r="B127" s="5" t="s">
        <v>16</v>
      </c>
      <c r="C127" s="5" t="s">
        <v>17</v>
      </c>
      <c r="D127" s="5" t="str">
        <f t="shared" si="2"/>
        <v>20220202001</v>
      </c>
      <c r="E127" s="5">
        <v>2</v>
      </c>
      <c r="F127" s="5" t="s">
        <v>14</v>
      </c>
      <c r="G127" s="5" t="str">
        <f>"许润鸽"</f>
        <v>许润鸽</v>
      </c>
      <c r="H127" s="5" t="str">
        <f>"112000523"</f>
        <v>112000523</v>
      </c>
      <c r="I127" s="5">
        <v>0</v>
      </c>
      <c r="J127" s="5" t="s">
        <v>15</v>
      </c>
    </row>
    <row r="128" s="1" customFormat="1" spans="1:10">
      <c r="A128" s="5">
        <v>125</v>
      </c>
      <c r="B128" s="5" t="s">
        <v>16</v>
      </c>
      <c r="C128" s="5" t="s">
        <v>17</v>
      </c>
      <c r="D128" s="5" t="str">
        <f t="shared" si="2"/>
        <v>20220202001</v>
      </c>
      <c r="E128" s="5">
        <v>2</v>
      </c>
      <c r="F128" s="5" t="s">
        <v>14</v>
      </c>
      <c r="G128" s="5" t="str">
        <f>"李智慧"</f>
        <v>李智慧</v>
      </c>
      <c r="H128" s="5" t="str">
        <f>"112000527"</f>
        <v>112000527</v>
      </c>
      <c r="I128" s="5">
        <v>0</v>
      </c>
      <c r="J128" s="5" t="s">
        <v>15</v>
      </c>
    </row>
    <row r="129" s="1" customFormat="1" spans="1:10">
      <c r="A129" s="5">
        <v>126</v>
      </c>
      <c r="B129" s="5" t="s">
        <v>16</v>
      </c>
      <c r="C129" s="5" t="s">
        <v>17</v>
      </c>
      <c r="D129" s="5" t="str">
        <f t="shared" si="2"/>
        <v>20220202001</v>
      </c>
      <c r="E129" s="5">
        <v>2</v>
      </c>
      <c r="F129" s="5" t="s">
        <v>14</v>
      </c>
      <c r="G129" s="5" t="str">
        <f>"唐璐瑶"</f>
        <v>唐璐瑶</v>
      </c>
      <c r="H129" s="5" t="str">
        <f>"112000601"</f>
        <v>112000601</v>
      </c>
      <c r="I129" s="5">
        <v>0</v>
      </c>
      <c r="J129" s="5" t="s">
        <v>15</v>
      </c>
    </row>
    <row r="130" s="1" customFormat="1" spans="1:10">
      <c r="A130" s="5">
        <v>127</v>
      </c>
      <c r="B130" s="5" t="s">
        <v>16</v>
      </c>
      <c r="C130" s="5" t="s">
        <v>17</v>
      </c>
      <c r="D130" s="5" t="str">
        <f t="shared" si="2"/>
        <v>20220202001</v>
      </c>
      <c r="E130" s="5">
        <v>2</v>
      </c>
      <c r="F130" s="5" t="s">
        <v>14</v>
      </c>
      <c r="G130" s="5" t="str">
        <f>"李浩"</f>
        <v>李浩</v>
      </c>
      <c r="H130" s="5" t="str">
        <f>"112000611"</f>
        <v>112000611</v>
      </c>
      <c r="I130" s="5">
        <v>0</v>
      </c>
      <c r="J130" s="5" t="s">
        <v>15</v>
      </c>
    </row>
    <row r="131" s="1" customFormat="1" spans="1:10">
      <c r="A131" s="5">
        <v>128</v>
      </c>
      <c r="B131" s="5" t="s">
        <v>16</v>
      </c>
      <c r="C131" s="5" t="s">
        <v>17</v>
      </c>
      <c r="D131" s="5" t="str">
        <f t="shared" si="2"/>
        <v>20220202001</v>
      </c>
      <c r="E131" s="5">
        <v>2</v>
      </c>
      <c r="F131" s="5" t="s">
        <v>14</v>
      </c>
      <c r="G131" s="5" t="str">
        <f>"高捷"</f>
        <v>高捷</v>
      </c>
      <c r="H131" s="5" t="str">
        <f>"112000615"</f>
        <v>112000615</v>
      </c>
      <c r="I131" s="5">
        <v>0</v>
      </c>
      <c r="J131" s="5" t="s">
        <v>15</v>
      </c>
    </row>
    <row r="132" s="1" customFormat="1" spans="1:10">
      <c r="A132" s="5">
        <v>129</v>
      </c>
      <c r="B132" s="5" t="s">
        <v>16</v>
      </c>
      <c r="C132" s="5" t="s">
        <v>17</v>
      </c>
      <c r="D132" s="5" t="str">
        <f t="shared" si="2"/>
        <v>20220202001</v>
      </c>
      <c r="E132" s="5">
        <v>2</v>
      </c>
      <c r="F132" s="5" t="s">
        <v>14</v>
      </c>
      <c r="G132" s="5" t="str">
        <f>"陈泽鑫"</f>
        <v>陈泽鑫</v>
      </c>
      <c r="H132" s="5" t="str">
        <f>"112000617"</f>
        <v>112000617</v>
      </c>
      <c r="I132" s="5">
        <v>0</v>
      </c>
      <c r="J132" s="5" t="s">
        <v>15</v>
      </c>
    </row>
    <row r="133" s="1" customFormat="1" spans="1:10">
      <c r="A133" s="5">
        <v>130</v>
      </c>
      <c r="B133" s="5" t="s">
        <v>16</v>
      </c>
      <c r="C133" s="5" t="s">
        <v>17</v>
      </c>
      <c r="D133" s="5" t="str">
        <f t="shared" si="2"/>
        <v>20220202001</v>
      </c>
      <c r="E133" s="5">
        <v>2</v>
      </c>
      <c r="F133" s="5" t="s">
        <v>14</v>
      </c>
      <c r="G133" s="5" t="str">
        <f>"胡珊"</f>
        <v>胡珊</v>
      </c>
      <c r="H133" s="5" t="str">
        <f>"112000620"</f>
        <v>112000620</v>
      </c>
      <c r="I133" s="5">
        <v>0</v>
      </c>
      <c r="J133" s="5" t="s">
        <v>15</v>
      </c>
    </row>
    <row r="134" s="1" customFormat="1" spans="1:10">
      <c r="A134" s="5">
        <v>131</v>
      </c>
      <c r="B134" s="5" t="s">
        <v>16</v>
      </c>
      <c r="C134" s="5" t="s">
        <v>17</v>
      </c>
      <c r="D134" s="5" t="str">
        <f t="shared" si="2"/>
        <v>20220202001</v>
      </c>
      <c r="E134" s="5">
        <v>2</v>
      </c>
      <c r="F134" s="5" t="s">
        <v>14</v>
      </c>
      <c r="G134" s="5" t="str">
        <f>"夏杭"</f>
        <v>夏杭</v>
      </c>
      <c r="H134" s="5" t="str">
        <f>"112000621"</f>
        <v>112000621</v>
      </c>
      <c r="I134" s="5">
        <v>0</v>
      </c>
      <c r="J134" s="5" t="s">
        <v>15</v>
      </c>
    </row>
    <row r="135" s="1" customFormat="1" spans="1:10">
      <c r="A135" s="5">
        <v>132</v>
      </c>
      <c r="B135" s="5" t="s">
        <v>16</v>
      </c>
      <c r="C135" s="5" t="s">
        <v>17</v>
      </c>
      <c r="D135" s="5" t="str">
        <f t="shared" si="2"/>
        <v>20220202001</v>
      </c>
      <c r="E135" s="5">
        <v>2</v>
      </c>
      <c r="F135" s="5" t="s">
        <v>14</v>
      </c>
      <c r="G135" s="5" t="str">
        <f>"张承科"</f>
        <v>张承科</v>
      </c>
      <c r="H135" s="5" t="str">
        <f>"112000626"</f>
        <v>112000626</v>
      </c>
      <c r="I135" s="5">
        <v>0</v>
      </c>
      <c r="J135" s="5" t="s">
        <v>15</v>
      </c>
    </row>
    <row r="136" s="1" customFormat="1" spans="1:10">
      <c r="A136" s="5">
        <v>133</v>
      </c>
      <c r="B136" s="5" t="s">
        <v>16</v>
      </c>
      <c r="C136" s="5" t="s">
        <v>17</v>
      </c>
      <c r="D136" s="5" t="str">
        <f t="shared" si="2"/>
        <v>20220202001</v>
      </c>
      <c r="E136" s="5">
        <v>2</v>
      </c>
      <c r="F136" s="5" t="s">
        <v>14</v>
      </c>
      <c r="G136" s="5" t="str">
        <f>"汪铃"</f>
        <v>汪铃</v>
      </c>
      <c r="H136" s="5" t="str">
        <f>"112000627"</f>
        <v>112000627</v>
      </c>
      <c r="I136" s="5">
        <v>0</v>
      </c>
      <c r="J136" s="5" t="s">
        <v>15</v>
      </c>
    </row>
    <row r="137" s="1" customFormat="1" spans="1:10">
      <c r="A137" s="5">
        <v>134</v>
      </c>
      <c r="B137" s="5" t="s">
        <v>16</v>
      </c>
      <c r="C137" s="5" t="s">
        <v>17</v>
      </c>
      <c r="D137" s="5" t="str">
        <f t="shared" si="2"/>
        <v>20220202001</v>
      </c>
      <c r="E137" s="5">
        <v>2</v>
      </c>
      <c r="F137" s="5" t="s">
        <v>14</v>
      </c>
      <c r="G137" s="5" t="str">
        <f>"任贺"</f>
        <v>任贺</v>
      </c>
      <c r="H137" s="5" t="str">
        <f>"112000701"</f>
        <v>112000701</v>
      </c>
      <c r="I137" s="5">
        <v>0</v>
      </c>
      <c r="J137" s="5" t="s">
        <v>15</v>
      </c>
    </row>
    <row r="138" s="1" customFormat="1" spans="1:10">
      <c r="A138" s="5">
        <v>135</v>
      </c>
      <c r="B138" s="5" t="s">
        <v>16</v>
      </c>
      <c r="C138" s="5" t="s">
        <v>17</v>
      </c>
      <c r="D138" s="5" t="str">
        <f t="shared" si="2"/>
        <v>20220202001</v>
      </c>
      <c r="E138" s="5">
        <v>2</v>
      </c>
      <c r="F138" s="5" t="s">
        <v>14</v>
      </c>
      <c r="G138" s="5" t="str">
        <f>"郝世杰"</f>
        <v>郝世杰</v>
      </c>
      <c r="H138" s="5" t="str">
        <f>"112000709"</f>
        <v>112000709</v>
      </c>
      <c r="I138" s="5">
        <v>0</v>
      </c>
      <c r="J138" s="5" t="s">
        <v>15</v>
      </c>
    </row>
    <row r="139" s="1" customFormat="1" spans="1:10">
      <c r="A139" s="5">
        <v>136</v>
      </c>
      <c r="B139" s="5" t="s">
        <v>16</v>
      </c>
      <c r="C139" s="5" t="s">
        <v>17</v>
      </c>
      <c r="D139" s="5" t="str">
        <f t="shared" si="2"/>
        <v>20220202001</v>
      </c>
      <c r="E139" s="5">
        <v>2</v>
      </c>
      <c r="F139" s="5" t="s">
        <v>14</v>
      </c>
      <c r="G139" s="5" t="str">
        <f>"蔡华都"</f>
        <v>蔡华都</v>
      </c>
      <c r="H139" s="5" t="str">
        <f>"112000719"</f>
        <v>112000719</v>
      </c>
      <c r="I139" s="5">
        <v>0</v>
      </c>
      <c r="J139" s="5" t="s">
        <v>15</v>
      </c>
    </row>
    <row r="140" s="1" customFormat="1" spans="1:10">
      <c r="A140" s="5">
        <v>137</v>
      </c>
      <c r="B140" s="5" t="s">
        <v>16</v>
      </c>
      <c r="C140" s="5" t="s">
        <v>17</v>
      </c>
      <c r="D140" s="5" t="str">
        <f t="shared" si="2"/>
        <v>20220202001</v>
      </c>
      <c r="E140" s="5">
        <v>2</v>
      </c>
      <c r="F140" s="5" t="s">
        <v>14</v>
      </c>
      <c r="G140" s="5" t="str">
        <f>"王小蒙"</f>
        <v>王小蒙</v>
      </c>
      <c r="H140" s="5" t="str">
        <f>"112000725"</f>
        <v>112000725</v>
      </c>
      <c r="I140" s="5">
        <v>0</v>
      </c>
      <c r="J140" s="5" t="s">
        <v>15</v>
      </c>
    </row>
    <row r="141" s="1" customFormat="1" spans="1:10">
      <c r="A141" s="5">
        <v>138</v>
      </c>
      <c r="B141" s="5" t="s">
        <v>16</v>
      </c>
      <c r="C141" s="5" t="s">
        <v>17</v>
      </c>
      <c r="D141" s="5" t="str">
        <f t="shared" si="2"/>
        <v>20220202001</v>
      </c>
      <c r="E141" s="5">
        <v>2</v>
      </c>
      <c r="F141" s="5" t="s">
        <v>14</v>
      </c>
      <c r="G141" s="5" t="str">
        <f>"裴振翔"</f>
        <v>裴振翔</v>
      </c>
      <c r="H141" s="5" t="str">
        <f>"112000806"</f>
        <v>112000806</v>
      </c>
      <c r="I141" s="5">
        <v>0</v>
      </c>
      <c r="J141" s="5" t="s">
        <v>15</v>
      </c>
    </row>
    <row r="142" s="1" customFormat="1" spans="1:10">
      <c r="A142" s="5">
        <v>139</v>
      </c>
      <c r="B142" s="5" t="s">
        <v>16</v>
      </c>
      <c r="C142" s="5" t="s">
        <v>17</v>
      </c>
      <c r="D142" s="5" t="str">
        <f t="shared" si="2"/>
        <v>20220202001</v>
      </c>
      <c r="E142" s="5">
        <v>2</v>
      </c>
      <c r="F142" s="5" t="s">
        <v>14</v>
      </c>
      <c r="G142" s="5" t="str">
        <f>"向秀丽"</f>
        <v>向秀丽</v>
      </c>
      <c r="H142" s="5" t="str">
        <f>"112000810"</f>
        <v>112000810</v>
      </c>
      <c r="I142" s="5">
        <v>0</v>
      </c>
      <c r="J142" s="5" t="s">
        <v>15</v>
      </c>
    </row>
    <row r="143" s="1" customFormat="1" spans="1:10">
      <c r="A143" s="5">
        <v>140</v>
      </c>
      <c r="B143" s="5" t="s">
        <v>16</v>
      </c>
      <c r="C143" s="5" t="s">
        <v>17</v>
      </c>
      <c r="D143" s="5" t="str">
        <f t="shared" si="2"/>
        <v>20220202001</v>
      </c>
      <c r="E143" s="5">
        <v>2</v>
      </c>
      <c r="F143" s="5" t="s">
        <v>14</v>
      </c>
      <c r="G143" s="5" t="str">
        <f>"许尧"</f>
        <v>许尧</v>
      </c>
      <c r="H143" s="5" t="str">
        <f>"112000811"</f>
        <v>112000811</v>
      </c>
      <c r="I143" s="5">
        <v>0</v>
      </c>
      <c r="J143" s="5" t="s">
        <v>15</v>
      </c>
    </row>
    <row r="144" s="1" customFormat="1" spans="1:10">
      <c r="A144" s="5">
        <v>141</v>
      </c>
      <c r="B144" s="5" t="s">
        <v>16</v>
      </c>
      <c r="C144" s="5" t="s">
        <v>17</v>
      </c>
      <c r="D144" s="5" t="str">
        <f t="shared" si="2"/>
        <v>20220202001</v>
      </c>
      <c r="E144" s="5">
        <v>2</v>
      </c>
      <c r="F144" s="5" t="s">
        <v>14</v>
      </c>
      <c r="G144" s="5" t="str">
        <f>"王晗"</f>
        <v>王晗</v>
      </c>
      <c r="H144" s="5" t="str">
        <f>"112000813"</f>
        <v>112000813</v>
      </c>
      <c r="I144" s="5">
        <v>0</v>
      </c>
      <c r="J144" s="5" t="s">
        <v>15</v>
      </c>
    </row>
    <row r="145" s="1" customFormat="1" spans="1:10">
      <c r="A145" s="5">
        <v>142</v>
      </c>
      <c r="B145" s="5" t="s">
        <v>16</v>
      </c>
      <c r="C145" s="5" t="s">
        <v>17</v>
      </c>
      <c r="D145" s="5" t="str">
        <f t="shared" si="2"/>
        <v>20220202001</v>
      </c>
      <c r="E145" s="5">
        <v>2</v>
      </c>
      <c r="F145" s="5" t="s">
        <v>14</v>
      </c>
      <c r="G145" s="5" t="str">
        <f>"温作铭"</f>
        <v>温作铭</v>
      </c>
      <c r="H145" s="5" t="str">
        <f>"112000814"</f>
        <v>112000814</v>
      </c>
      <c r="I145" s="5">
        <v>0</v>
      </c>
      <c r="J145" s="5" t="s">
        <v>15</v>
      </c>
    </row>
    <row r="146" s="1" customFormat="1" spans="1:10">
      <c r="A146" s="5">
        <v>143</v>
      </c>
      <c r="B146" s="5" t="s">
        <v>16</v>
      </c>
      <c r="C146" s="5" t="s">
        <v>17</v>
      </c>
      <c r="D146" s="5" t="str">
        <f t="shared" si="2"/>
        <v>20220202001</v>
      </c>
      <c r="E146" s="5">
        <v>2</v>
      </c>
      <c r="F146" s="5" t="s">
        <v>14</v>
      </c>
      <c r="G146" s="5" t="str">
        <f>"李玉玲"</f>
        <v>李玉玲</v>
      </c>
      <c r="H146" s="5" t="str">
        <f>"112000819"</f>
        <v>112000819</v>
      </c>
      <c r="I146" s="5">
        <v>0</v>
      </c>
      <c r="J146" s="5" t="s">
        <v>15</v>
      </c>
    </row>
    <row r="147" s="1" customFormat="1" spans="1:10">
      <c r="A147" s="5">
        <v>144</v>
      </c>
      <c r="B147" s="5" t="s">
        <v>16</v>
      </c>
      <c r="C147" s="5" t="s">
        <v>17</v>
      </c>
      <c r="D147" s="5" t="str">
        <f t="shared" si="2"/>
        <v>20220202001</v>
      </c>
      <c r="E147" s="5">
        <v>2</v>
      </c>
      <c r="F147" s="5" t="s">
        <v>14</v>
      </c>
      <c r="G147" s="5" t="str">
        <f>"葛芳"</f>
        <v>葛芳</v>
      </c>
      <c r="H147" s="5" t="str">
        <f>"112000824"</f>
        <v>112000824</v>
      </c>
      <c r="I147" s="5">
        <v>0</v>
      </c>
      <c r="J147" s="5" t="s">
        <v>15</v>
      </c>
    </row>
    <row r="148" s="1" customFormat="1" spans="1:10">
      <c r="A148" s="5">
        <v>145</v>
      </c>
      <c r="B148" s="5" t="s">
        <v>16</v>
      </c>
      <c r="C148" s="5" t="s">
        <v>17</v>
      </c>
      <c r="D148" s="5" t="str">
        <f t="shared" si="2"/>
        <v>20220202001</v>
      </c>
      <c r="E148" s="5">
        <v>2</v>
      </c>
      <c r="F148" s="5" t="s">
        <v>14</v>
      </c>
      <c r="G148" s="5" t="str">
        <f>"吴晓芳"</f>
        <v>吴晓芳</v>
      </c>
      <c r="H148" s="5" t="str">
        <f>"112000827"</f>
        <v>112000827</v>
      </c>
      <c r="I148" s="5">
        <v>0</v>
      </c>
      <c r="J148" s="5" t="s">
        <v>15</v>
      </c>
    </row>
    <row r="149" s="1" customFormat="1" spans="1:10">
      <c r="A149" s="5">
        <v>146</v>
      </c>
      <c r="B149" s="5" t="s">
        <v>16</v>
      </c>
      <c r="C149" s="5" t="s">
        <v>17</v>
      </c>
      <c r="D149" s="5" t="str">
        <f t="shared" si="2"/>
        <v>20220202001</v>
      </c>
      <c r="E149" s="5">
        <v>2</v>
      </c>
      <c r="F149" s="5" t="s">
        <v>14</v>
      </c>
      <c r="G149" s="5" t="str">
        <f>"聂亚茹"</f>
        <v>聂亚茹</v>
      </c>
      <c r="H149" s="5" t="str">
        <f>"112000902"</f>
        <v>112000902</v>
      </c>
      <c r="I149" s="5">
        <v>0</v>
      </c>
      <c r="J149" s="5" t="s">
        <v>15</v>
      </c>
    </row>
    <row r="150" s="1" customFormat="1" spans="1:10">
      <c r="A150" s="5">
        <v>147</v>
      </c>
      <c r="B150" s="5" t="s">
        <v>16</v>
      </c>
      <c r="C150" s="5" t="s">
        <v>17</v>
      </c>
      <c r="D150" s="5" t="str">
        <f t="shared" si="2"/>
        <v>20220202001</v>
      </c>
      <c r="E150" s="5">
        <v>2</v>
      </c>
      <c r="F150" s="5" t="s">
        <v>14</v>
      </c>
      <c r="G150" s="5" t="str">
        <f>"汪莉"</f>
        <v>汪莉</v>
      </c>
      <c r="H150" s="5" t="str">
        <f>"112000909"</f>
        <v>112000909</v>
      </c>
      <c r="I150" s="5">
        <v>0</v>
      </c>
      <c r="J150" s="5" t="s">
        <v>15</v>
      </c>
    </row>
    <row r="151" s="1" customFormat="1" spans="1:10">
      <c r="A151" s="5">
        <v>148</v>
      </c>
      <c r="B151" s="5" t="s">
        <v>16</v>
      </c>
      <c r="C151" s="5" t="s">
        <v>17</v>
      </c>
      <c r="D151" s="5" t="str">
        <f t="shared" si="2"/>
        <v>20220202001</v>
      </c>
      <c r="E151" s="5">
        <v>2</v>
      </c>
      <c r="F151" s="5" t="s">
        <v>14</v>
      </c>
      <c r="G151" s="5" t="str">
        <f>"李雷云"</f>
        <v>李雷云</v>
      </c>
      <c r="H151" s="5" t="str">
        <f>"112000916"</f>
        <v>112000916</v>
      </c>
      <c r="I151" s="5">
        <v>0</v>
      </c>
      <c r="J151" s="5" t="s">
        <v>15</v>
      </c>
    </row>
    <row r="152" s="1" customFormat="1" spans="1:10">
      <c r="A152" s="5">
        <v>149</v>
      </c>
      <c r="B152" s="5" t="s">
        <v>16</v>
      </c>
      <c r="C152" s="5" t="s">
        <v>17</v>
      </c>
      <c r="D152" s="5" t="str">
        <f t="shared" si="2"/>
        <v>20220202001</v>
      </c>
      <c r="E152" s="5">
        <v>2</v>
      </c>
      <c r="F152" s="5" t="s">
        <v>14</v>
      </c>
      <c r="G152" s="5" t="str">
        <f>"项拓"</f>
        <v>项拓</v>
      </c>
      <c r="H152" s="5" t="str">
        <f>"112000924"</f>
        <v>112000924</v>
      </c>
      <c r="I152" s="5">
        <v>0</v>
      </c>
      <c r="J152" s="5" t="s">
        <v>15</v>
      </c>
    </row>
    <row r="153" s="1" customFormat="1" spans="1:10">
      <c r="A153" s="5">
        <v>150</v>
      </c>
      <c r="B153" s="5" t="s">
        <v>16</v>
      </c>
      <c r="C153" s="5" t="s">
        <v>17</v>
      </c>
      <c r="D153" s="5" t="str">
        <f t="shared" si="2"/>
        <v>20220202001</v>
      </c>
      <c r="E153" s="5">
        <v>2</v>
      </c>
      <c r="F153" s="5" t="s">
        <v>14</v>
      </c>
      <c r="G153" s="5" t="str">
        <f>"王慧琴"</f>
        <v>王慧琴</v>
      </c>
      <c r="H153" s="5" t="str">
        <f>"112001011"</f>
        <v>112001011</v>
      </c>
      <c r="I153" s="5">
        <v>0</v>
      </c>
      <c r="J153" s="5" t="s">
        <v>15</v>
      </c>
    </row>
    <row r="154" s="1" customFormat="1" spans="1:10">
      <c r="A154" s="5">
        <v>151</v>
      </c>
      <c r="B154" s="5" t="s">
        <v>16</v>
      </c>
      <c r="C154" s="5" t="s">
        <v>17</v>
      </c>
      <c r="D154" s="5" t="str">
        <f t="shared" ref="D154:D186" si="3">"20220202001"</f>
        <v>20220202001</v>
      </c>
      <c r="E154" s="5">
        <v>2</v>
      </c>
      <c r="F154" s="5" t="s">
        <v>14</v>
      </c>
      <c r="G154" s="5" t="str">
        <f>"陈静"</f>
        <v>陈静</v>
      </c>
      <c r="H154" s="5" t="str">
        <f>"112001020"</f>
        <v>112001020</v>
      </c>
      <c r="I154" s="5">
        <v>0</v>
      </c>
      <c r="J154" s="5" t="s">
        <v>15</v>
      </c>
    </row>
    <row r="155" s="1" customFormat="1" spans="1:10">
      <c r="A155" s="5">
        <v>152</v>
      </c>
      <c r="B155" s="5" t="s">
        <v>16</v>
      </c>
      <c r="C155" s="5" t="s">
        <v>17</v>
      </c>
      <c r="D155" s="5" t="str">
        <f t="shared" si="3"/>
        <v>20220202001</v>
      </c>
      <c r="E155" s="5">
        <v>2</v>
      </c>
      <c r="F155" s="5" t="s">
        <v>14</v>
      </c>
      <c r="G155" s="5" t="str">
        <f>"陈子灵"</f>
        <v>陈子灵</v>
      </c>
      <c r="H155" s="5" t="str">
        <f>"112001025"</f>
        <v>112001025</v>
      </c>
      <c r="I155" s="5">
        <v>0</v>
      </c>
      <c r="J155" s="5" t="s">
        <v>15</v>
      </c>
    </row>
    <row r="156" s="1" customFormat="1" spans="1:10">
      <c r="A156" s="5">
        <v>153</v>
      </c>
      <c r="B156" s="5" t="s">
        <v>16</v>
      </c>
      <c r="C156" s="5" t="s">
        <v>17</v>
      </c>
      <c r="D156" s="5" t="str">
        <f t="shared" si="3"/>
        <v>20220202001</v>
      </c>
      <c r="E156" s="5">
        <v>2</v>
      </c>
      <c r="F156" s="5" t="s">
        <v>14</v>
      </c>
      <c r="G156" s="5" t="str">
        <f>"谭余清"</f>
        <v>谭余清</v>
      </c>
      <c r="H156" s="5" t="str">
        <f>"112001026"</f>
        <v>112001026</v>
      </c>
      <c r="I156" s="5">
        <v>0</v>
      </c>
      <c r="J156" s="5" t="s">
        <v>15</v>
      </c>
    </row>
    <row r="157" s="1" customFormat="1" spans="1:10">
      <c r="A157" s="5">
        <v>154</v>
      </c>
      <c r="B157" s="5" t="s">
        <v>16</v>
      </c>
      <c r="C157" s="5" t="s">
        <v>17</v>
      </c>
      <c r="D157" s="5" t="str">
        <f t="shared" si="3"/>
        <v>20220202001</v>
      </c>
      <c r="E157" s="5">
        <v>2</v>
      </c>
      <c r="F157" s="5" t="s">
        <v>14</v>
      </c>
      <c r="G157" s="5" t="str">
        <f>"水岁寒"</f>
        <v>水岁寒</v>
      </c>
      <c r="H157" s="5" t="str">
        <f>"112001101"</f>
        <v>112001101</v>
      </c>
      <c r="I157" s="5">
        <v>0</v>
      </c>
      <c r="J157" s="5" t="s">
        <v>15</v>
      </c>
    </row>
    <row r="158" s="1" customFormat="1" spans="1:10">
      <c r="A158" s="5">
        <v>155</v>
      </c>
      <c r="B158" s="5" t="s">
        <v>16</v>
      </c>
      <c r="C158" s="5" t="s">
        <v>17</v>
      </c>
      <c r="D158" s="5" t="str">
        <f t="shared" si="3"/>
        <v>20220202001</v>
      </c>
      <c r="E158" s="5">
        <v>2</v>
      </c>
      <c r="F158" s="5" t="s">
        <v>14</v>
      </c>
      <c r="G158" s="5" t="str">
        <f>"易紫薇"</f>
        <v>易紫薇</v>
      </c>
      <c r="H158" s="5" t="str">
        <f>"112001116"</f>
        <v>112001116</v>
      </c>
      <c r="I158" s="5">
        <v>0</v>
      </c>
      <c r="J158" s="5" t="s">
        <v>15</v>
      </c>
    </row>
    <row r="159" s="1" customFormat="1" spans="1:10">
      <c r="A159" s="5">
        <v>156</v>
      </c>
      <c r="B159" s="5" t="s">
        <v>16</v>
      </c>
      <c r="C159" s="5" t="s">
        <v>17</v>
      </c>
      <c r="D159" s="5" t="str">
        <f t="shared" si="3"/>
        <v>20220202001</v>
      </c>
      <c r="E159" s="5">
        <v>2</v>
      </c>
      <c r="F159" s="5" t="s">
        <v>14</v>
      </c>
      <c r="G159" s="5" t="str">
        <f>"刁文婷"</f>
        <v>刁文婷</v>
      </c>
      <c r="H159" s="5" t="str">
        <f>"112001124"</f>
        <v>112001124</v>
      </c>
      <c r="I159" s="5">
        <v>0</v>
      </c>
      <c r="J159" s="5" t="s">
        <v>15</v>
      </c>
    </row>
    <row r="160" s="1" customFormat="1" spans="1:10">
      <c r="A160" s="5">
        <v>157</v>
      </c>
      <c r="B160" s="5" t="s">
        <v>16</v>
      </c>
      <c r="C160" s="5" t="s">
        <v>17</v>
      </c>
      <c r="D160" s="5" t="str">
        <f t="shared" si="3"/>
        <v>20220202001</v>
      </c>
      <c r="E160" s="5">
        <v>2</v>
      </c>
      <c r="F160" s="5" t="s">
        <v>14</v>
      </c>
      <c r="G160" s="5" t="str">
        <f>"陆蒙蒙"</f>
        <v>陆蒙蒙</v>
      </c>
      <c r="H160" s="5" t="str">
        <f>"112001325"</f>
        <v>112001325</v>
      </c>
      <c r="I160" s="5">
        <v>0</v>
      </c>
      <c r="J160" s="5" t="s">
        <v>15</v>
      </c>
    </row>
    <row r="161" s="1" customFormat="1" spans="1:10">
      <c r="A161" s="5">
        <v>158</v>
      </c>
      <c r="B161" s="5" t="s">
        <v>16</v>
      </c>
      <c r="C161" s="5" t="s">
        <v>17</v>
      </c>
      <c r="D161" s="5" t="str">
        <f t="shared" si="3"/>
        <v>20220202001</v>
      </c>
      <c r="E161" s="5">
        <v>2</v>
      </c>
      <c r="F161" s="5" t="s">
        <v>14</v>
      </c>
      <c r="G161" s="5" t="str">
        <f>"胡虹"</f>
        <v>胡虹</v>
      </c>
      <c r="H161" s="5" t="str">
        <f>"112001328"</f>
        <v>112001328</v>
      </c>
      <c r="I161" s="5">
        <v>0</v>
      </c>
      <c r="J161" s="5" t="s">
        <v>15</v>
      </c>
    </row>
    <row r="162" s="1" customFormat="1" spans="1:10">
      <c r="A162" s="5">
        <v>159</v>
      </c>
      <c r="B162" s="5" t="s">
        <v>16</v>
      </c>
      <c r="C162" s="5" t="s">
        <v>17</v>
      </c>
      <c r="D162" s="5" t="str">
        <f t="shared" si="3"/>
        <v>20220202001</v>
      </c>
      <c r="E162" s="5">
        <v>2</v>
      </c>
      <c r="F162" s="5" t="s">
        <v>14</v>
      </c>
      <c r="G162" s="5" t="str">
        <f>"周雄"</f>
        <v>周雄</v>
      </c>
      <c r="H162" s="5" t="str">
        <f>"112001415"</f>
        <v>112001415</v>
      </c>
      <c r="I162" s="5">
        <v>0</v>
      </c>
      <c r="J162" s="5" t="s">
        <v>15</v>
      </c>
    </row>
    <row r="163" s="1" customFormat="1" spans="1:10">
      <c r="A163" s="5">
        <v>160</v>
      </c>
      <c r="B163" s="5" t="s">
        <v>16</v>
      </c>
      <c r="C163" s="5" t="s">
        <v>17</v>
      </c>
      <c r="D163" s="5" t="str">
        <f t="shared" si="3"/>
        <v>20220202001</v>
      </c>
      <c r="E163" s="5">
        <v>2</v>
      </c>
      <c r="F163" s="5" t="s">
        <v>14</v>
      </c>
      <c r="G163" s="5" t="str">
        <f>"邹缘园"</f>
        <v>邹缘园</v>
      </c>
      <c r="H163" s="5" t="str">
        <f>"112001423"</f>
        <v>112001423</v>
      </c>
      <c r="I163" s="5">
        <v>0</v>
      </c>
      <c r="J163" s="5" t="s">
        <v>15</v>
      </c>
    </row>
    <row r="164" s="1" customFormat="1" spans="1:10">
      <c r="A164" s="5">
        <v>161</v>
      </c>
      <c r="B164" s="5" t="s">
        <v>16</v>
      </c>
      <c r="C164" s="5" t="s">
        <v>17</v>
      </c>
      <c r="D164" s="5" t="str">
        <f t="shared" si="3"/>
        <v>20220202001</v>
      </c>
      <c r="E164" s="5">
        <v>2</v>
      </c>
      <c r="F164" s="5" t="s">
        <v>14</v>
      </c>
      <c r="G164" s="5" t="str">
        <f>"周保荣"</f>
        <v>周保荣</v>
      </c>
      <c r="H164" s="5" t="str">
        <f>"112001503"</f>
        <v>112001503</v>
      </c>
      <c r="I164" s="5">
        <v>0</v>
      </c>
      <c r="J164" s="5" t="s">
        <v>15</v>
      </c>
    </row>
    <row r="165" s="1" customFormat="1" spans="1:10">
      <c r="A165" s="5">
        <v>162</v>
      </c>
      <c r="B165" s="5" t="s">
        <v>16</v>
      </c>
      <c r="C165" s="5" t="s">
        <v>17</v>
      </c>
      <c r="D165" s="5" t="str">
        <f t="shared" si="3"/>
        <v>20220202001</v>
      </c>
      <c r="E165" s="5">
        <v>2</v>
      </c>
      <c r="F165" s="5" t="s">
        <v>14</v>
      </c>
      <c r="G165" s="5" t="str">
        <f>"李为仁"</f>
        <v>李为仁</v>
      </c>
      <c r="H165" s="5" t="str">
        <f>"112001512"</f>
        <v>112001512</v>
      </c>
      <c r="I165" s="5">
        <v>0</v>
      </c>
      <c r="J165" s="5" t="s">
        <v>15</v>
      </c>
    </row>
    <row r="166" s="1" customFormat="1" spans="1:10">
      <c r="A166" s="5">
        <v>163</v>
      </c>
      <c r="B166" s="5" t="s">
        <v>16</v>
      </c>
      <c r="C166" s="5" t="s">
        <v>17</v>
      </c>
      <c r="D166" s="5" t="str">
        <f t="shared" si="3"/>
        <v>20220202001</v>
      </c>
      <c r="E166" s="5">
        <v>2</v>
      </c>
      <c r="F166" s="5" t="s">
        <v>14</v>
      </c>
      <c r="G166" s="5" t="str">
        <f>"李婷"</f>
        <v>李婷</v>
      </c>
      <c r="H166" s="5" t="str">
        <f>"112001513"</f>
        <v>112001513</v>
      </c>
      <c r="I166" s="5">
        <v>0</v>
      </c>
      <c r="J166" s="5" t="s">
        <v>15</v>
      </c>
    </row>
    <row r="167" s="1" customFormat="1" spans="1:10">
      <c r="A167" s="5">
        <v>164</v>
      </c>
      <c r="B167" s="5" t="s">
        <v>16</v>
      </c>
      <c r="C167" s="5" t="s">
        <v>17</v>
      </c>
      <c r="D167" s="5" t="str">
        <f t="shared" si="3"/>
        <v>20220202001</v>
      </c>
      <c r="E167" s="5">
        <v>2</v>
      </c>
      <c r="F167" s="5" t="s">
        <v>14</v>
      </c>
      <c r="G167" s="5" t="str">
        <f>"俞晓萌"</f>
        <v>俞晓萌</v>
      </c>
      <c r="H167" s="5" t="str">
        <f>"112001517"</f>
        <v>112001517</v>
      </c>
      <c r="I167" s="5">
        <v>0</v>
      </c>
      <c r="J167" s="5" t="s">
        <v>15</v>
      </c>
    </row>
    <row r="168" s="1" customFormat="1" spans="1:10">
      <c r="A168" s="5">
        <v>165</v>
      </c>
      <c r="B168" s="5" t="s">
        <v>16</v>
      </c>
      <c r="C168" s="5" t="s">
        <v>17</v>
      </c>
      <c r="D168" s="5" t="str">
        <f t="shared" si="3"/>
        <v>20220202001</v>
      </c>
      <c r="E168" s="5">
        <v>2</v>
      </c>
      <c r="F168" s="5" t="s">
        <v>14</v>
      </c>
      <c r="G168" s="5" t="str">
        <f>"郑旭超"</f>
        <v>郑旭超</v>
      </c>
      <c r="H168" s="5" t="str">
        <f>"112001519"</f>
        <v>112001519</v>
      </c>
      <c r="I168" s="5">
        <v>0</v>
      </c>
      <c r="J168" s="5" t="s">
        <v>15</v>
      </c>
    </row>
    <row r="169" s="1" customFormat="1" spans="1:10">
      <c r="A169" s="5">
        <v>166</v>
      </c>
      <c r="B169" s="5" t="s">
        <v>16</v>
      </c>
      <c r="C169" s="5" t="s">
        <v>17</v>
      </c>
      <c r="D169" s="5" t="str">
        <f t="shared" si="3"/>
        <v>20220202001</v>
      </c>
      <c r="E169" s="5">
        <v>2</v>
      </c>
      <c r="F169" s="5" t="s">
        <v>14</v>
      </c>
      <c r="G169" s="5" t="str">
        <f>"张昀"</f>
        <v>张昀</v>
      </c>
      <c r="H169" s="5" t="str">
        <f>"112001525"</f>
        <v>112001525</v>
      </c>
      <c r="I169" s="5">
        <v>0</v>
      </c>
      <c r="J169" s="5" t="s">
        <v>15</v>
      </c>
    </row>
    <row r="170" s="1" customFormat="1" spans="1:10">
      <c r="A170" s="5">
        <v>167</v>
      </c>
      <c r="B170" s="5" t="s">
        <v>16</v>
      </c>
      <c r="C170" s="5" t="s">
        <v>17</v>
      </c>
      <c r="D170" s="5" t="str">
        <f t="shared" si="3"/>
        <v>20220202001</v>
      </c>
      <c r="E170" s="5">
        <v>2</v>
      </c>
      <c r="F170" s="5" t="s">
        <v>14</v>
      </c>
      <c r="G170" s="5" t="str">
        <f>"周梦霞"</f>
        <v>周梦霞</v>
      </c>
      <c r="H170" s="5" t="str">
        <f>"112001601"</f>
        <v>112001601</v>
      </c>
      <c r="I170" s="5">
        <v>0</v>
      </c>
      <c r="J170" s="5" t="s">
        <v>15</v>
      </c>
    </row>
    <row r="171" s="1" customFormat="1" spans="1:10">
      <c r="A171" s="5">
        <v>168</v>
      </c>
      <c r="B171" s="5" t="s">
        <v>16</v>
      </c>
      <c r="C171" s="5" t="s">
        <v>17</v>
      </c>
      <c r="D171" s="5" t="str">
        <f t="shared" si="3"/>
        <v>20220202001</v>
      </c>
      <c r="E171" s="5">
        <v>2</v>
      </c>
      <c r="F171" s="5" t="s">
        <v>14</v>
      </c>
      <c r="G171" s="5" t="str">
        <f>"张梦晖"</f>
        <v>张梦晖</v>
      </c>
      <c r="H171" s="5" t="str">
        <f>"112001606"</f>
        <v>112001606</v>
      </c>
      <c r="I171" s="5">
        <v>0</v>
      </c>
      <c r="J171" s="5" t="s">
        <v>15</v>
      </c>
    </row>
    <row r="172" s="1" customFormat="1" spans="1:10">
      <c r="A172" s="5">
        <v>169</v>
      </c>
      <c r="B172" s="5" t="s">
        <v>16</v>
      </c>
      <c r="C172" s="5" t="s">
        <v>17</v>
      </c>
      <c r="D172" s="5" t="str">
        <f t="shared" si="3"/>
        <v>20220202001</v>
      </c>
      <c r="E172" s="5">
        <v>2</v>
      </c>
      <c r="F172" s="5" t="s">
        <v>14</v>
      </c>
      <c r="G172" s="5" t="str">
        <f>"陈龙女"</f>
        <v>陈龙女</v>
      </c>
      <c r="H172" s="5" t="str">
        <f>"112001612"</f>
        <v>112001612</v>
      </c>
      <c r="I172" s="5">
        <v>0</v>
      </c>
      <c r="J172" s="5" t="s">
        <v>15</v>
      </c>
    </row>
    <row r="173" s="1" customFormat="1" spans="1:10">
      <c r="A173" s="5">
        <v>170</v>
      </c>
      <c r="B173" s="5" t="s">
        <v>16</v>
      </c>
      <c r="C173" s="5" t="s">
        <v>17</v>
      </c>
      <c r="D173" s="5" t="str">
        <f t="shared" si="3"/>
        <v>20220202001</v>
      </c>
      <c r="E173" s="5">
        <v>2</v>
      </c>
      <c r="F173" s="5" t="s">
        <v>14</v>
      </c>
      <c r="G173" s="5" t="str">
        <f>"王瑶"</f>
        <v>王瑶</v>
      </c>
      <c r="H173" s="5" t="str">
        <f>"112001621"</f>
        <v>112001621</v>
      </c>
      <c r="I173" s="5">
        <v>0</v>
      </c>
      <c r="J173" s="5" t="s">
        <v>15</v>
      </c>
    </row>
    <row r="174" s="1" customFormat="1" spans="1:10">
      <c r="A174" s="5">
        <v>171</v>
      </c>
      <c r="B174" s="5" t="s">
        <v>16</v>
      </c>
      <c r="C174" s="5" t="s">
        <v>17</v>
      </c>
      <c r="D174" s="5" t="str">
        <f t="shared" si="3"/>
        <v>20220202001</v>
      </c>
      <c r="E174" s="5">
        <v>2</v>
      </c>
      <c r="F174" s="5" t="s">
        <v>14</v>
      </c>
      <c r="G174" s="5" t="str">
        <f>"李谷雅"</f>
        <v>李谷雅</v>
      </c>
      <c r="H174" s="5" t="str">
        <f>"112001703"</f>
        <v>112001703</v>
      </c>
      <c r="I174" s="5">
        <v>0</v>
      </c>
      <c r="J174" s="5" t="s">
        <v>15</v>
      </c>
    </row>
    <row r="175" s="1" customFormat="1" spans="1:10">
      <c r="A175" s="5">
        <v>172</v>
      </c>
      <c r="B175" s="5" t="s">
        <v>16</v>
      </c>
      <c r="C175" s="5" t="s">
        <v>17</v>
      </c>
      <c r="D175" s="5" t="str">
        <f t="shared" si="3"/>
        <v>20220202001</v>
      </c>
      <c r="E175" s="5">
        <v>2</v>
      </c>
      <c r="F175" s="5" t="s">
        <v>14</v>
      </c>
      <c r="G175" s="5" t="str">
        <f>"杨诗华"</f>
        <v>杨诗华</v>
      </c>
      <c r="H175" s="5" t="str">
        <f>"112001706"</f>
        <v>112001706</v>
      </c>
      <c r="I175" s="5">
        <v>0</v>
      </c>
      <c r="J175" s="5" t="s">
        <v>15</v>
      </c>
    </row>
    <row r="176" s="1" customFormat="1" spans="1:10">
      <c r="A176" s="5">
        <v>173</v>
      </c>
      <c r="B176" s="5" t="s">
        <v>16</v>
      </c>
      <c r="C176" s="5" t="s">
        <v>17</v>
      </c>
      <c r="D176" s="5" t="str">
        <f t="shared" si="3"/>
        <v>20220202001</v>
      </c>
      <c r="E176" s="5">
        <v>2</v>
      </c>
      <c r="F176" s="5" t="s">
        <v>14</v>
      </c>
      <c r="G176" s="5" t="str">
        <f>"黄紫衡"</f>
        <v>黄紫衡</v>
      </c>
      <c r="H176" s="5" t="str">
        <f>"112001707"</f>
        <v>112001707</v>
      </c>
      <c r="I176" s="5">
        <v>0</v>
      </c>
      <c r="J176" s="5" t="s">
        <v>15</v>
      </c>
    </row>
    <row r="177" s="1" customFormat="1" spans="1:10">
      <c r="A177" s="5">
        <v>174</v>
      </c>
      <c r="B177" s="5" t="s">
        <v>16</v>
      </c>
      <c r="C177" s="5" t="s">
        <v>17</v>
      </c>
      <c r="D177" s="5" t="str">
        <f t="shared" si="3"/>
        <v>20220202001</v>
      </c>
      <c r="E177" s="5">
        <v>2</v>
      </c>
      <c r="F177" s="5" t="s">
        <v>14</v>
      </c>
      <c r="G177" s="5" t="str">
        <f>"陈永海"</f>
        <v>陈永海</v>
      </c>
      <c r="H177" s="5" t="str">
        <f>"112001710"</f>
        <v>112001710</v>
      </c>
      <c r="I177" s="5">
        <v>0</v>
      </c>
      <c r="J177" s="5" t="s">
        <v>15</v>
      </c>
    </row>
    <row r="178" s="1" customFormat="1" spans="1:10">
      <c r="A178" s="5">
        <v>175</v>
      </c>
      <c r="B178" s="5" t="s">
        <v>16</v>
      </c>
      <c r="C178" s="5" t="s">
        <v>17</v>
      </c>
      <c r="D178" s="5" t="str">
        <f t="shared" si="3"/>
        <v>20220202001</v>
      </c>
      <c r="E178" s="5">
        <v>2</v>
      </c>
      <c r="F178" s="5" t="s">
        <v>14</v>
      </c>
      <c r="G178" s="5" t="str">
        <f>"罗巧芸"</f>
        <v>罗巧芸</v>
      </c>
      <c r="H178" s="5" t="str">
        <f>"112001712"</f>
        <v>112001712</v>
      </c>
      <c r="I178" s="5">
        <v>0</v>
      </c>
      <c r="J178" s="5" t="s">
        <v>15</v>
      </c>
    </row>
    <row r="179" s="1" customFormat="1" spans="1:10">
      <c r="A179" s="5">
        <v>176</v>
      </c>
      <c r="B179" s="5" t="s">
        <v>16</v>
      </c>
      <c r="C179" s="5" t="s">
        <v>17</v>
      </c>
      <c r="D179" s="5" t="str">
        <f t="shared" si="3"/>
        <v>20220202001</v>
      </c>
      <c r="E179" s="5">
        <v>2</v>
      </c>
      <c r="F179" s="5" t="s">
        <v>14</v>
      </c>
      <c r="G179" s="5" t="str">
        <f>"王晨"</f>
        <v>王晨</v>
      </c>
      <c r="H179" s="5" t="str">
        <f>"112001716"</f>
        <v>112001716</v>
      </c>
      <c r="I179" s="5">
        <v>0</v>
      </c>
      <c r="J179" s="5" t="s">
        <v>15</v>
      </c>
    </row>
    <row r="180" s="1" customFormat="1" spans="1:10">
      <c r="A180" s="5">
        <v>177</v>
      </c>
      <c r="B180" s="5" t="s">
        <v>16</v>
      </c>
      <c r="C180" s="5" t="s">
        <v>17</v>
      </c>
      <c r="D180" s="5" t="str">
        <f t="shared" si="3"/>
        <v>20220202001</v>
      </c>
      <c r="E180" s="5">
        <v>2</v>
      </c>
      <c r="F180" s="5" t="s">
        <v>14</v>
      </c>
      <c r="G180" s="5" t="str">
        <f>"舒永前"</f>
        <v>舒永前</v>
      </c>
      <c r="H180" s="5" t="str">
        <f>"112001719"</f>
        <v>112001719</v>
      </c>
      <c r="I180" s="5">
        <v>0</v>
      </c>
      <c r="J180" s="5" t="s">
        <v>15</v>
      </c>
    </row>
    <row r="181" s="1" customFormat="1" spans="1:10">
      <c r="A181" s="5">
        <v>178</v>
      </c>
      <c r="B181" s="5" t="s">
        <v>16</v>
      </c>
      <c r="C181" s="5" t="s">
        <v>17</v>
      </c>
      <c r="D181" s="5" t="str">
        <f t="shared" si="3"/>
        <v>20220202001</v>
      </c>
      <c r="E181" s="5">
        <v>2</v>
      </c>
      <c r="F181" s="5" t="s">
        <v>14</v>
      </c>
      <c r="G181" s="5" t="str">
        <f>"熊禹"</f>
        <v>熊禹</v>
      </c>
      <c r="H181" s="5" t="str">
        <f>"112001810"</f>
        <v>112001810</v>
      </c>
      <c r="I181" s="5">
        <v>0</v>
      </c>
      <c r="J181" s="5" t="s">
        <v>15</v>
      </c>
    </row>
    <row r="182" s="1" customFormat="1" spans="1:10">
      <c r="A182" s="5">
        <v>179</v>
      </c>
      <c r="B182" s="5" t="s">
        <v>16</v>
      </c>
      <c r="C182" s="5" t="s">
        <v>17</v>
      </c>
      <c r="D182" s="5" t="str">
        <f t="shared" si="3"/>
        <v>20220202001</v>
      </c>
      <c r="E182" s="5">
        <v>2</v>
      </c>
      <c r="F182" s="5" t="s">
        <v>14</v>
      </c>
      <c r="G182" s="5" t="str">
        <f>"王旭"</f>
        <v>王旭</v>
      </c>
      <c r="H182" s="5" t="str">
        <f>"112001813"</f>
        <v>112001813</v>
      </c>
      <c r="I182" s="5">
        <v>0</v>
      </c>
      <c r="J182" s="5" t="s">
        <v>15</v>
      </c>
    </row>
    <row r="183" s="1" customFormat="1" spans="1:10">
      <c r="A183" s="5">
        <v>180</v>
      </c>
      <c r="B183" s="5" t="s">
        <v>16</v>
      </c>
      <c r="C183" s="5" t="s">
        <v>17</v>
      </c>
      <c r="D183" s="5" t="str">
        <f t="shared" si="3"/>
        <v>20220202001</v>
      </c>
      <c r="E183" s="5">
        <v>2</v>
      </c>
      <c r="F183" s="5" t="s">
        <v>14</v>
      </c>
      <c r="G183" s="5" t="str">
        <f>"张彩平"</f>
        <v>张彩平</v>
      </c>
      <c r="H183" s="5" t="str">
        <f>"112001815"</f>
        <v>112001815</v>
      </c>
      <c r="I183" s="5">
        <v>0</v>
      </c>
      <c r="J183" s="5" t="s">
        <v>15</v>
      </c>
    </row>
    <row r="184" s="1" customFormat="1" spans="1:10">
      <c r="A184" s="5">
        <v>181</v>
      </c>
      <c r="B184" s="5" t="s">
        <v>16</v>
      </c>
      <c r="C184" s="5" t="s">
        <v>17</v>
      </c>
      <c r="D184" s="5" t="str">
        <f t="shared" si="3"/>
        <v>20220202001</v>
      </c>
      <c r="E184" s="5">
        <v>2</v>
      </c>
      <c r="F184" s="5" t="s">
        <v>14</v>
      </c>
      <c r="G184" s="5" t="str">
        <f>"杨炎武"</f>
        <v>杨炎武</v>
      </c>
      <c r="H184" s="5" t="str">
        <f>"112001905"</f>
        <v>112001905</v>
      </c>
      <c r="I184" s="5">
        <v>0</v>
      </c>
      <c r="J184" s="5" t="s">
        <v>15</v>
      </c>
    </row>
    <row r="185" s="1" customFormat="1" spans="1:10">
      <c r="A185" s="5">
        <v>182</v>
      </c>
      <c r="B185" s="5" t="s">
        <v>16</v>
      </c>
      <c r="C185" s="5" t="s">
        <v>17</v>
      </c>
      <c r="D185" s="5" t="str">
        <f t="shared" si="3"/>
        <v>20220202001</v>
      </c>
      <c r="E185" s="5">
        <v>2</v>
      </c>
      <c r="F185" s="5" t="s">
        <v>14</v>
      </c>
      <c r="G185" s="5" t="str">
        <f>"王聪"</f>
        <v>王聪</v>
      </c>
      <c r="H185" s="5" t="str">
        <f>"112001918"</f>
        <v>112001918</v>
      </c>
      <c r="I185" s="5">
        <v>0</v>
      </c>
      <c r="J185" s="5" t="s">
        <v>15</v>
      </c>
    </row>
    <row r="186" s="1" customFormat="1" spans="1:10">
      <c r="A186" s="5">
        <v>183</v>
      </c>
      <c r="B186" s="5" t="s">
        <v>16</v>
      </c>
      <c r="C186" s="5" t="s">
        <v>17</v>
      </c>
      <c r="D186" s="5" t="str">
        <f t="shared" si="3"/>
        <v>20220202001</v>
      </c>
      <c r="E186" s="5">
        <v>2</v>
      </c>
      <c r="F186" s="5" t="s">
        <v>14</v>
      </c>
      <c r="G186" s="5" t="str">
        <f>"闵杰"</f>
        <v>闵杰</v>
      </c>
      <c r="H186" s="5" t="str">
        <f>"112001926"</f>
        <v>112001926</v>
      </c>
      <c r="I186" s="5">
        <v>0</v>
      </c>
      <c r="J186" s="5" t="s">
        <v>15</v>
      </c>
    </row>
    <row r="187" s="1" customFormat="1" spans="1:10">
      <c r="A187" s="5">
        <v>184</v>
      </c>
      <c r="B187" s="5" t="s">
        <v>16</v>
      </c>
      <c r="C187" s="5" t="s">
        <v>17</v>
      </c>
      <c r="D187" s="5" t="str">
        <f t="shared" ref="D187:D197" si="4">"20220202002"</f>
        <v>20220202002</v>
      </c>
      <c r="E187" s="5">
        <v>1</v>
      </c>
      <c r="F187" s="5" t="s">
        <v>14</v>
      </c>
      <c r="G187" s="5" t="str">
        <f>"刘宏祥"</f>
        <v>刘宏祥</v>
      </c>
      <c r="H187" s="5" t="str">
        <f>"112001226"</f>
        <v>112001226</v>
      </c>
      <c r="I187" s="5">
        <v>104.08</v>
      </c>
      <c r="J187" s="5"/>
    </row>
    <row r="188" s="1" customFormat="1" spans="1:10">
      <c r="A188" s="5">
        <v>185</v>
      </c>
      <c r="B188" s="5" t="s">
        <v>16</v>
      </c>
      <c r="C188" s="5" t="s">
        <v>17</v>
      </c>
      <c r="D188" s="5" t="str">
        <f t="shared" si="4"/>
        <v>20220202002</v>
      </c>
      <c r="E188" s="5">
        <v>1</v>
      </c>
      <c r="F188" s="5" t="s">
        <v>14</v>
      </c>
      <c r="G188" s="5" t="str">
        <f>"黄飞"</f>
        <v>黄飞</v>
      </c>
      <c r="H188" s="5" t="str">
        <f>"112000113"</f>
        <v>112000113</v>
      </c>
      <c r="I188" s="5">
        <v>104</v>
      </c>
      <c r="J188" s="5"/>
    </row>
    <row r="189" s="1" customFormat="1" spans="1:10">
      <c r="A189" s="5">
        <v>186</v>
      </c>
      <c r="B189" s="5" t="s">
        <v>16</v>
      </c>
      <c r="C189" s="5" t="s">
        <v>17</v>
      </c>
      <c r="D189" s="5" t="str">
        <f t="shared" si="4"/>
        <v>20220202002</v>
      </c>
      <c r="E189" s="5">
        <v>1</v>
      </c>
      <c r="F189" s="5" t="s">
        <v>14</v>
      </c>
      <c r="G189" s="5" t="str">
        <f>"郑天天"</f>
        <v>郑天天</v>
      </c>
      <c r="H189" s="5" t="str">
        <f>"112001016"</f>
        <v>112001016</v>
      </c>
      <c r="I189" s="5">
        <v>101.6</v>
      </c>
      <c r="J189" s="5"/>
    </row>
    <row r="190" s="1" customFormat="1" spans="1:10">
      <c r="A190" s="5">
        <v>187</v>
      </c>
      <c r="B190" s="5" t="s">
        <v>16</v>
      </c>
      <c r="C190" s="5" t="s">
        <v>17</v>
      </c>
      <c r="D190" s="5" t="str">
        <f t="shared" si="4"/>
        <v>20220202002</v>
      </c>
      <c r="E190" s="5">
        <v>1</v>
      </c>
      <c r="F190" s="5" t="s">
        <v>14</v>
      </c>
      <c r="G190" s="5" t="str">
        <f>"聂楚函"</f>
        <v>聂楚函</v>
      </c>
      <c r="H190" s="5" t="str">
        <f>"112000112"</f>
        <v>112000112</v>
      </c>
      <c r="I190" s="5">
        <v>99.6</v>
      </c>
      <c r="J190" s="5"/>
    </row>
    <row r="191" s="1" customFormat="1" spans="1:10">
      <c r="A191" s="5">
        <v>188</v>
      </c>
      <c r="B191" s="5" t="s">
        <v>16</v>
      </c>
      <c r="C191" s="5" t="s">
        <v>17</v>
      </c>
      <c r="D191" s="5" t="str">
        <f t="shared" si="4"/>
        <v>20220202002</v>
      </c>
      <c r="E191" s="5">
        <v>1</v>
      </c>
      <c r="F191" s="5" t="s">
        <v>14</v>
      </c>
      <c r="G191" s="5" t="str">
        <f>"游伟"</f>
        <v>游伟</v>
      </c>
      <c r="H191" s="5" t="str">
        <f>"112001516"</f>
        <v>112001516</v>
      </c>
      <c r="I191" s="5">
        <v>94.72</v>
      </c>
      <c r="J191" s="5"/>
    </row>
    <row r="192" s="1" customFormat="1" spans="1:10">
      <c r="A192" s="5">
        <v>189</v>
      </c>
      <c r="B192" s="5" t="s">
        <v>16</v>
      </c>
      <c r="C192" s="5" t="s">
        <v>17</v>
      </c>
      <c r="D192" s="5" t="str">
        <f t="shared" si="4"/>
        <v>20220202002</v>
      </c>
      <c r="E192" s="5">
        <v>1</v>
      </c>
      <c r="F192" s="5" t="s">
        <v>14</v>
      </c>
      <c r="G192" s="5" t="str">
        <f>"廖天宇"</f>
        <v>廖天宇</v>
      </c>
      <c r="H192" s="5" t="str">
        <f>"112001715"</f>
        <v>112001715</v>
      </c>
      <c r="I192" s="5">
        <v>77.84</v>
      </c>
      <c r="J192" s="5"/>
    </row>
    <row r="193" s="1" customFormat="1" spans="1:10">
      <c r="A193" s="5">
        <v>190</v>
      </c>
      <c r="B193" s="5" t="s">
        <v>16</v>
      </c>
      <c r="C193" s="5" t="s">
        <v>17</v>
      </c>
      <c r="D193" s="5" t="str">
        <f t="shared" si="4"/>
        <v>20220202002</v>
      </c>
      <c r="E193" s="5">
        <v>1</v>
      </c>
      <c r="F193" s="5" t="s">
        <v>14</v>
      </c>
      <c r="G193" s="5" t="str">
        <f>"程景"</f>
        <v>程景</v>
      </c>
      <c r="H193" s="5" t="str">
        <f>"112000803"</f>
        <v>112000803</v>
      </c>
      <c r="I193" s="5">
        <v>0</v>
      </c>
      <c r="J193" s="5" t="s">
        <v>15</v>
      </c>
    </row>
    <row r="194" s="1" customFormat="1" spans="1:10">
      <c r="A194" s="5">
        <v>191</v>
      </c>
      <c r="B194" s="5" t="s">
        <v>16</v>
      </c>
      <c r="C194" s="5" t="s">
        <v>17</v>
      </c>
      <c r="D194" s="5" t="str">
        <f t="shared" si="4"/>
        <v>20220202002</v>
      </c>
      <c r="E194" s="5">
        <v>1</v>
      </c>
      <c r="F194" s="5" t="s">
        <v>14</v>
      </c>
      <c r="G194" s="5" t="str">
        <f>"李子琰"</f>
        <v>李子琰</v>
      </c>
      <c r="H194" s="5" t="str">
        <f>"112001015"</f>
        <v>112001015</v>
      </c>
      <c r="I194" s="5">
        <v>0</v>
      </c>
      <c r="J194" s="5" t="s">
        <v>15</v>
      </c>
    </row>
    <row r="195" s="1" customFormat="1" spans="1:10">
      <c r="A195" s="5">
        <v>192</v>
      </c>
      <c r="B195" s="5" t="s">
        <v>16</v>
      </c>
      <c r="C195" s="5" t="s">
        <v>17</v>
      </c>
      <c r="D195" s="5" t="str">
        <f t="shared" si="4"/>
        <v>20220202002</v>
      </c>
      <c r="E195" s="5">
        <v>1</v>
      </c>
      <c r="F195" s="5" t="s">
        <v>14</v>
      </c>
      <c r="G195" s="5" t="str">
        <f>"卢惠敏"</f>
        <v>卢惠敏</v>
      </c>
      <c r="H195" s="5" t="str">
        <f>"112001505"</f>
        <v>112001505</v>
      </c>
      <c r="I195" s="5">
        <v>0</v>
      </c>
      <c r="J195" s="5" t="s">
        <v>15</v>
      </c>
    </row>
    <row r="196" s="1" customFormat="1" spans="1:10">
      <c r="A196" s="5">
        <v>193</v>
      </c>
      <c r="B196" s="5" t="s">
        <v>16</v>
      </c>
      <c r="C196" s="5" t="s">
        <v>17</v>
      </c>
      <c r="D196" s="5" t="str">
        <f t="shared" si="4"/>
        <v>20220202002</v>
      </c>
      <c r="E196" s="5">
        <v>1</v>
      </c>
      <c r="F196" s="5" t="s">
        <v>14</v>
      </c>
      <c r="G196" s="5" t="str">
        <f>"王钰"</f>
        <v>王钰</v>
      </c>
      <c r="H196" s="5" t="str">
        <f>"112001522"</f>
        <v>112001522</v>
      </c>
      <c r="I196" s="5">
        <v>0</v>
      </c>
      <c r="J196" s="5" t="s">
        <v>15</v>
      </c>
    </row>
    <row r="197" s="1" customFormat="1" spans="1:10">
      <c r="A197" s="5">
        <v>194</v>
      </c>
      <c r="B197" s="5" t="s">
        <v>16</v>
      </c>
      <c r="C197" s="5" t="s">
        <v>17</v>
      </c>
      <c r="D197" s="5" t="str">
        <f t="shared" si="4"/>
        <v>20220202002</v>
      </c>
      <c r="E197" s="5">
        <v>1</v>
      </c>
      <c r="F197" s="5" t="s">
        <v>14</v>
      </c>
      <c r="G197" s="5" t="str">
        <f>"魏一凡"</f>
        <v>魏一凡</v>
      </c>
      <c r="H197" s="5" t="str">
        <f>"112001723"</f>
        <v>112001723</v>
      </c>
      <c r="I197" s="5">
        <v>0</v>
      </c>
      <c r="J197" s="5" t="s">
        <v>15</v>
      </c>
    </row>
    <row r="198" s="1" customFormat="1" spans="1:10">
      <c r="A198" s="5">
        <v>195</v>
      </c>
      <c r="B198" s="5" t="s">
        <v>18</v>
      </c>
      <c r="C198" s="5" t="s">
        <v>19</v>
      </c>
      <c r="D198" s="5" t="str">
        <f>"20220203001"</f>
        <v>20220203001</v>
      </c>
      <c r="E198" s="5">
        <v>1</v>
      </c>
      <c r="F198" s="5" t="s">
        <v>14</v>
      </c>
      <c r="G198" s="5" t="str">
        <f>"张凯"</f>
        <v>张凯</v>
      </c>
      <c r="H198" s="5" t="str">
        <f>"112000502"</f>
        <v>112000502</v>
      </c>
      <c r="I198" s="5">
        <v>0</v>
      </c>
      <c r="J198" s="5" t="s">
        <v>15</v>
      </c>
    </row>
    <row r="199" s="1" customFormat="1" spans="1:10">
      <c r="A199" s="5">
        <v>196</v>
      </c>
      <c r="B199" s="5" t="s">
        <v>18</v>
      </c>
      <c r="C199" s="5" t="s">
        <v>19</v>
      </c>
      <c r="D199" s="5" t="str">
        <f>"20220203001"</f>
        <v>20220203001</v>
      </c>
      <c r="E199" s="5">
        <v>1</v>
      </c>
      <c r="F199" s="5" t="s">
        <v>14</v>
      </c>
      <c r="G199" s="5" t="str">
        <f>"孙光皓"</f>
        <v>孙光皓</v>
      </c>
      <c r="H199" s="5" t="str">
        <f>"112001110"</f>
        <v>112001110</v>
      </c>
      <c r="I199" s="5">
        <v>0</v>
      </c>
      <c r="J199" s="5" t="s">
        <v>15</v>
      </c>
    </row>
    <row r="200" s="1" customFormat="1" spans="1:10">
      <c r="A200" s="5">
        <v>197</v>
      </c>
      <c r="B200" s="5" t="s">
        <v>20</v>
      </c>
      <c r="C200" s="5" t="s">
        <v>21</v>
      </c>
      <c r="D200" s="5" t="str">
        <f t="shared" ref="D200:D228" si="5">"20220204001"</f>
        <v>20220204001</v>
      </c>
      <c r="E200" s="5">
        <v>2</v>
      </c>
      <c r="F200" s="5" t="s">
        <v>14</v>
      </c>
      <c r="G200" s="5" t="str">
        <f>"肖艳"</f>
        <v>肖艳</v>
      </c>
      <c r="H200" s="5" t="str">
        <f>"112001617"</f>
        <v>112001617</v>
      </c>
      <c r="I200" s="5">
        <v>115.44</v>
      </c>
      <c r="J200" s="5"/>
    </row>
    <row r="201" s="1" customFormat="1" spans="1:10">
      <c r="A201" s="5">
        <v>198</v>
      </c>
      <c r="B201" s="5" t="s">
        <v>20</v>
      </c>
      <c r="C201" s="5" t="s">
        <v>21</v>
      </c>
      <c r="D201" s="5" t="str">
        <f t="shared" si="5"/>
        <v>20220204001</v>
      </c>
      <c r="E201" s="5">
        <v>2</v>
      </c>
      <c r="F201" s="5" t="s">
        <v>14</v>
      </c>
      <c r="G201" s="5" t="str">
        <f>"孙倩月"</f>
        <v>孙倩月</v>
      </c>
      <c r="H201" s="5" t="str">
        <f>"112000317"</f>
        <v>112000317</v>
      </c>
      <c r="I201" s="5">
        <v>109.76</v>
      </c>
      <c r="J201" s="5"/>
    </row>
    <row r="202" s="1" customFormat="1" spans="1:10">
      <c r="A202" s="5">
        <v>199</v>
      </c>
      <c r="B202" s="5" t="s">
        <v>20</v>
      </c>
      <c r="C202" s="5" t="s">
        <v>21</v>
      </c>
      <c r="D202" s="5" t="str">
        <f t="shared" si="5"/>
        <v>20220204001</v>
      </c>
      <c r="E202" s="5">
        <v>2</v>
      </c>
      <c r="F202" s="5" t="s">
        <v>14</v>
      </c>
      <c r="G202" s="5" t="str">
        <f>"顿雅琪"</f>
        <v>顿雅琪</v>
      </c>
      <c r="H202" s="5" t="str">
        <f>"112001314"</f>
        <v>112001314</v>
      </c>
      <c r="I202" s="5">
        <v>107.52</v>
      </c>
      <c r="J202" s="5"/>
    </row>
    <row r="203" s="1" customFormat="1" spans="1:10">
      <c r="A203" s="5">
        <v>200</v>
      </c>
      <c r="B203" s="5" t="s">
        <v>20</v>
      </c>
      <c r="C203" s="5" t="s">
        <v>21</v>
      </c>
      <c r="D203" s="5" t="str">
        <f t="shared" si="5"/>
        <v>20220204001</v>
      </c>
      <c r="E203" s="5">
        <v>2</v>
      </c>
      <c r="F203" s="5" t="s">
        <v>14</v>
      </c>
      <c r="G203" s="5" t="str">
        <f>"娄琛"</f>
        <v>娄琛</v>
      </c>
      <c r="H203" s="5" t="str">
        <f>"112001108"</f>
        <v>112001108</v>
      </c>
      <c r="I203" s="5">
        <v>106.12</v>
      </c>
      <c r="J203" s="5"/>
    </row>
    <row r="204" s="1" customFormat="1" spans="1:10">
      <c r="A204" s="5">
        <v>201</v>
      </c>
      <c r="B204" s="5" t="s">
        <v>20</v>
      </c>
      <c r="C204" s="5" t="s">
        <v>21</v>
      </c>
      <c r="D204" s="5" t="str">
        <f t="shared" si="5"/>
        <v>20220204001</v>
      </c>
      <c r="E204" s="5">
        <v>2</v>
      </c>
      <c r="F204" s="5" t="s">
        <v>14</v>
      </c>
      <c r="G204" s="5" t="str">
        <f>"戴茜"</f>
        <v>戴茜</v>
      </c>
      <c r="H204" s="5" t="str">
        <f>"112001927"</f>
        <v>112001927</v>
      </c>
      <c r="I204" s="5">
        <v>106.12</v>
      </c>
      <c r="J204" s="5"/>
    </row>
    <row r="205" s="1" customFormat="1" spans="1:10">
      <c r="A205" s="5">
        <v>202</v>
      </c>
      <c r="B205" s="5" t="s">
        <v>20</v>
      </c>
      <c r="C205" s="5" t="s">
        <v>21</v>
      </c>
      <c r="D205" s="5" t="str">
        <f t="shared" si="5"/>
        <v>20220204001</v>
      </c>
      <c r="E205" s="5">
        <v>2</v>
      </c>
      <c r="F205" s="5" t="s">
        <v>14</v>
      </c>
      <c r="G205" s="5" t="str">
        <f>"魏双柔"</f>
        <v>魏双柔</v>
      </c>
      <c r="H205" s="5" t="str">
        <f>"112000123"</f>
        <v>112000123</v>
      </c>
      <c r="I205" s="5">
        <v>105.76</v>
      </c>
      <c r="J205" s="5"/>
    </row>
    <row r="206" s="1" customFormat="1" spans="1:10">
      <c r="A206" s="5">
        <v>203</v>
      </c>
      <c r="B206" s="5" t="s">
        <v>20</v>
      </c>
      <c r="C206" s="5" t="s">
        <v>21</v>
      </c>
      <c r="D206" s="5" t="str">
        <f t="shared" si="5"/>
        <v>20220204001</v>
      </c>
      <c r="E206" s="5">
        <v>2</v>
      </c>
      <c r="F206" s="5" t="s">
        <v>14</v>
      </c>
      <c r="G206" s="5" t="str">
        <f>"刘凤丹"</f>
        <v>刘凤丹</v>
      </c>
      <c r="H206" s="5" t="str">
        <f>"112000323"</f>
        <v>112000323</v>
      </c>
      <c r="I206" s="5">
        <v>105.44</v>
      </c>
      <c r="J206" s="5"/>
    </row>
    <row r="207" s="1" customFormat="1" spans="1:10">
      <c r="A207" s="5">
        <v>204</v>
      </c>
      <c r="B207" s="5" t="s">
        <v>20</v>
      </c>
      <c r="C207" s="5" t="s">
        <v>21</v>
      </c>
      <c r="D207" s="5" t="str">
        <f t="shared" si="5"/>
        <v>20220204001</v>
      </c>
      <c r="E207" s="5">
        <v>2</v>
      </c>
      <c r="F207" s="5" t="s">
        <v>14</v>
      </c>
      <c r="G207" s="5" t="str">
        <f>"黄嘉钰"</f>
        <v>黄嘉钰</v>
      </c>
      <c r="H207" s="5" t="str">
        <f>"112000103"</f>
        <v>112000103</v>
      </c>
      <c r="I207" s="5">
        <v>103.2</v>
      </c>
      <c r="J207" s="5"/>
    </row>
    <row r="208" s="1" customFormat="1" spans="1:10">
      <c r="A208" s="5">
        <v>205</v>
      </c>
      <c r="B208" s="5" t="s">
        <v>20</v>
      </c>
      <c r="C208" s="5" t="s">
        <v>21</v>
      </c>
      <c r="D208" s="5" t="str">
        <f t="shared" si="5"/>
        <v>20220204001</v>
      </c>
      <c r="E208" s="5">
        <v>2</v>
      </c>
      <c r="F208" s="5" t="s">
        <v>14</v>
      </c>
      <c r="G208" s="5" t="str">
        <f>"兰培培"</f>
        <v>兰培培</v>
      </c>
      <c r="H208" s="5" t="str">
        <f>"112000410"</f>
        <v>112000410</v>
      </c>
      <c r="I208" s="5">
        <v>100.52</v>
      </c>
      <c r="J208" s="5"/>
    </row>
    <row r="209" s="1" customFormat="1" spans="1:10">
      <c r="A209" s="5">
        <v>206</v>
      </c>
      <c r="B209" s="5" t="s">
        <v>20</v>
      </c>
      <c r="C209" s="5" t="s">
        <v>21</v>
      </c>
      <c r="D209" s="5" t="str">
        <f t="shared" si="5"/>
        <v>20220204001</v>
      </c>
      <c r="E209" s="5">
        <v>2</v>
      </c>
      <c r="F209" s="5" t="s">
        <v>14</v>
      </c>
      <c r="G209" s="5" t="str">
        <f>"王荣艺"</f>
        <v>王荣艺</v>
      </c>
      <c r="H209" s="5" t="str">
        <f>"112000510"</f>
        <v>112000510</v>
      </c>
      <c r="I209" s="5">
        <v>98</v>
      </c>
      <c r="J209" s="5"/>
    </row>
    <row r="210" s="1" customFormat="1" spans="1:10">
      <c r="A210" s="5">
        <v>207</v>
      </c>
      <c r="B210" s="5" t="s">
        <v>20</v>
      </c>
      <c r="C210" s="5" t="s">
        <v>21</v>
      </c>
      <c r="D210" s="5" t="str">
        <f t="shared" si="5"/>
        <v>20220204001</v>
      </c>
      <c r="E210" s="5">
        <v>2</v>
      </c>
      <c r="F210" s="5" t="s">
        <v>14</v>
      </c>
      <c r="G210" s="5" t="str">
        <f>"伍俊烽"</f>
        <v>伍俊烽</v>
      </c>
      <c r="H210" s="5" t="str">
        <f>"112001114"</f>
        <v>112001114</v>
      </c>
      <c r="I210" s="5">
        <v>96.84</v>
      </c>
      <c r="J210" s="5"/>
    </row>
    <row r="211" s="1" customFormat="1" spans="1:10">
      <c r="A211" s="5">
        <v>208</v>
      </c>
      <c r="B211" s="5" t="s">
        <v>20</v>
      </c>
      <c r="C211" s="5" t="s">
        <v>21</v>
      </c>
      <c r="D211" s="5" t="str">
        <f t="shared" si="5"/>
        <v>20220204001</v>
      </c>
      <c r="E211" s="5">
        <v>2</v>
      </c>
      <c r="F211" s="5" t="s">
        <v>14</v>
      </c>
      <c r="G211" s="5" t="str">
        <f>"张浩然"</f>
        <v>张浩然</v>
      </c>
      <c r="H211" s="5" t="str">
        <f>"112001029"</f>
        <v>112001029</v>
      </c>
      <c r="I211" s="5">
        <v>96.76</v>
      </c>
      <c r="J211" s="5"/>
    </row>
    <row r="212" s="1" customFormat="1" spans="1:10">
      <c r="A212" s="5">
        <v>209</v>
      </c>
      <c r="B212" s="5" t="s">
        <v>20</v>
      </c>
      <c r="C212" s="5" t="s">
        <v>21</v>
      </c>
      <c r="D212" s="5" t="str">
        <f t="shared" si="5"/>
        <v>20220204001</v>
      </c>
      <c r="E212" s="5">
        <v>2</v>
      </c>
      <c r="F212" s="5" t="s">
        <v>14</v>
      </c>
      <c r="G212" s="5" t="str">
        <f>"李晨"</f>
        <v>李晨</v>
      </c>
      <c r="H212" s="5" t="str">
        <f>"112000702"</f>
        <v>112000702</v>
      </c>
      <c r="I212" s="5">
        <v>94.84</v>
      </c>
      <c r="J212" s="5"/>
    </row>
    <row r="213" s="1" customFormat="1" spans="1:10">
      <c r="A213" s="5">
        <v>210</v>
      </c>
      <c r="B213" s="5" t="s">
        <v>20</v>
      </c>
      <c r="C213" s="5" t="s">
        <v>21</v>
      </c>
      <c r="D213" s="5" t="str">
        <f t="shared" si="5"/>
        <v>20220204001</v>
      </c>
      <c r="E213" s="5">
        <v>2</v>
      </c>
      <c r="F213" s="5" t="s">
        <v>14</v>
      </c>
      <c r="G213" s="5" t="str">
        <f>"王滢菡"</f>
        <v>王滢菡</v>
      </c>
      <c r="H213" s="5" t="str">
        <f>"112001713"</f>
        <v>112001713</v>
      </c>
      <c r="I213" s="5">
        <v>93.32</v>
      </c>
      <c r="J213" s="5"/>
    </row>
    <row r="214" s="1" customFormat="1" spans="1:10">
      <c r="A214" s="5">
        <v>211</v>
      </c>
      <c r="B214" s="5" t="s">
        <v>20</v>
      </c>
      <c r="C214" s="5" t="s">
        <v>21</v>
      </c>
      <c r="D214" s="5" t="str">
        <f t="shared" si="5"/>
        <v>20220204001</v>
      </c>
      <c r="E214" s="5">
        <v>2</v>
      </c>
      <c r="F214" s="5" t="s">
        <v>14</v>
      </c>
      <c r="G214" s="5" t="str">
        <f>"谭樹杰"</f>
        <v>谭樹杰</v>
      </c>
      <c r="H214" s="5" t="str">
        <f>"112001401"</f>
        <v>112001401</v>
      </c>
      <c r="I214" s="5">
        <v>87.32</v>
      </c>
      <c r="J214" s="5"/>
    </row>
    <row r="215" s="1" customFormat="1" spans="1:10">
      <c r="A215" s="5">
        <v>212</v>
      </c>
      <c r="B215" s="5" t="s">
        <v>20</v>
      </c>
      <c r="C215" s="5" t="s">
        <v>21</v>
      </c>
      <c r="D215" s="5" t="str">
        <f t="shared" si="5"/>
        <v>20220204001</v>
      </c>
      <c r="E215" s="5">
        <v>2</v>
      </c>
      <c r="F215" s="5" t="s">
        <v>14</v>
      </c>
      <c r="G215" s="5" t="str">
        <f>"朱小鹏"</f>
        <v>朱小鹏</v>
      </c>
      <c r="H215" s="5" t="str">
        <f>"112001117"</f>
        <v>112001117</v>
      </c>
      <c r="I215" s="5">
        <v>85.72</v>
      </c>
      <c r="J215" s="5"/>
    </row>
    <row r="216" s="1" customFormat="1" spans="1:10">
      <c r="A216" s="5">
        <v>213</v>
      </c>
      <c r="B216" s="5" t="s">
        <v>20</v>
      </c>
      <c r="C216" s="5" t="s">
        <v>21</v>
      </c>
      <c r="D216" s="5" t="str">
        <f t="shared" si="5"/>
        <v>20220204001</v>
      </c>
      <c r="E216" s="5">
        <v>2</v>
      </c>
      <c r="F216" s="5" t="s">
        <v>14</v>
      </c>
      <c r="G216" s="5" t="str">
        <f>"覃玉洁"</f>
        <v>覃玉洁</v>
      </c>
      <c r="H216" s="5" t="str">
        <f>"112000220"</f>
        <v>112000220</v>
      </c>
      <c r="I216" s="5">
        <v>85.6</v>
      </c>
      <c r="J216" s="5"/>
    </row>
    <row r="217" s="1" customFormat="1" spans="1:10">
      <c r="A217" s="5">
        <v>214</v>
      </c>
      <c r="B217" s="5" t="s">
        <v>20</v>
      </c>
      <c r="C217" s="5" t="s">
        <v>21</v>
      </c>
      <c r="D217" s="5" t="str">
        <f t="shared" si="5"/>
        <v>20220204001</v>
      </c>
      <c r="E217" s="5">
        <v>2</v>
      </c>
      <c r="F217" s="5" t="s">
        <v>14</v>
      </c>
      <c r="G217" s="5" t="str">
        <f>"窦欣欣"</f>
        <v>窦欣欣</v>
      </c>
      <c r="H217" s="5" t="str">
        <f>"112000211"</f>
        <v>112000211</v>
      </c>
      <c r="I217" s="5">
        <v>85.04</v>
      </c>
      <c r="J217" s="5"/>
    </row>
    <row r="218" s="1" customFormat="1" spans="1:10">
      <c r="A218" s="5">
        <v>215</v>
      </c>
      <c r="B218" s="5" t="s">
        <v>20</v>
      </c>
      <c r="C218" s="5" t="s">
        <v>21</v>
      </c>
      <c r="D218" s="5" t="str">
        <f t="shared" si="5"/>
        <v>20220204001</v>
      </c>
      <c r="E218" s="5">
        <v>2</v>
      </c>
      <c r="F218" s="5" t="s">
        <v>14</v>
      </c>
      <c r="G218" s="5" t="str">
        <f>"朱正言"</f>
        <v>朱正言</v>
      </c>
      <c r="H218" s="5" t="str">
        <f>"112000715"</f>
        <v>112000715</v>
      </c>
      <c r="I218" s="5">
        <v>83</v>
      </c>
      <c r="J218" s="5"/>
    </row>
    <row r="219" s="1" customFormat="1" spans="1:10">
      <c r="A219" s="5">
        <v>216</v>
      </c>
      <c r="B219" s="5" t="s">
        <v>20</v>
      </c>
      <c r="C219" s="5" t="s">
        <v>21</v>
      </c>
      <c r="D219" s="5" t="str">
        <f t="shared" si="5"/>
        <v>20220204001</v>
      </c>
      <c r="E219" s="5">
        <v>2</v>
      </c>
      <c r="F219" s="5" t="s">
        <v>14</v>
      </c>
      <c r="G219" s="5" t="str">
        <f>"黄泳水"</f>
        <v>黄泳水</v>
      </c>
      <c r="H219" s="5" t="str">
        <f>"112000413"</f>
        <v>112000413</v>
      </c>
      <c r="I219" s="5">
        <v>82.68</v>
      </c>
      <c r="J219" s="5"/>
    </row>
    <row r="220" s="1" customFormat="1" spans="1:10">
      <c r="A220" s="5">
        <v>217</v>
      </c>
      <c r="B220" s="5" t="s">
        <v>20</v>
      </c>
      <c r="C220" s="5" t="s">
        <v>21</v>
      </c>
      <c r="D220" s="5" t="str">
        <f t="shared" si="5"/>
        <v>20220204001</v>
      </c>
      <c r="E220" s="5">
        <v>2</v>
      </c>
      <c r="F220" s="5" t="s">
        <v>14</v>
      </c>
      <c r="G220" s="5" t="str">
        <f>"彭芳圆"</f>
        <v>彭芳圆</v>
      </c>
      <c r="H220" s="5" t="str">
        <f>"112000721"</f>
        <v>112000721</v>
      </c>
      <c r="I220" s="5">
        <v>77.24</v>
      </c>
      <c r="J220" s="5"/>
    </row>
    <row r="221" s="1" customFormat="1" spans="1:10">
      <c r="A221" s="5">
        <v>218</v>
      </c>
      <c r="B221" s="5" t="s">
        <v>20</v>
      </c>
      <c r="C221" s="5" t="s">
        <v>21</v>
      </c>
      <c r="D221" s="5" t="str">
        <f t="shared" si="5"/>
        <v>20220204001</v>
      </c>
      <c r="E221" s="5">
        <v>2</v>
      </c>
      <c r="F221" s="5" t="s">
        <v>14</v>
      </c>
      <c r="G221" s="5" t="str">
        <f>"徐文强"</f>
        <v>徐文强</v>
      </c>
      <c r="H221" s="5" t="str">
        <f>"112000802"</f>
        <v>112000802</v>
      </c>
      <c r="I221" s="5">
        <v>71.72</v>
      </c>
      <c r="J221" s="5"/>
    </row>
    <row r="222" s="1" customFormat="1" spans="1:10">
      <c r="A222" s="5">
        <v>219</v>
      </c>
      <c r="B222" s="5" t="s">
        <v>20</v>
      </c>
      <c r="C222" s="5" t="s">
        <v>21</v>
      </c>
      <c r="D222" s="5" t="str">
        <f t="shared" si="5"/>
        <v>20220204001</v>
      </c>
      <c r="E222" s="5">
        <v>2</v>
      </c>
      <c r="F222" s="5" t="s">
        <v>14</v>
      </c>
      <c r="G222" s="5" t="str">
        <f>"戴宇凡"</f>
        <v>戴宇凡</v>
      </c>
      <c r="H222" s="5" t="str">
        <f>"112000221"</f>
        <v>112000221</v>
      </c>
      <c r="I222" s="5">
        <v>0</v>
      </c>
      <c r="J222" s="5" t="s">
        <v>15</v>
      </c>
    </row>
    <row r="223" s="1" customFormat="1" spans="1:10">
      <c r="A223" s="5">
        <v>220</v>
      </c>
      <c r="B223" s="5" t="s">
        <v>20</v>
      </c>
      <c r="C223" s="5" t="s">
        <v>21</v>
      </c>
      <c r="D223" s="5" t="str">
        <f t="shared" si="5"/>
        <v>20220204001</v>
      </c>
      <c r="E223" s="5">
        <v>2</v>
      </c>
      <c r="F223" s="5" t="s">
        <v>14</v>
      </c>
      <c r="G223" s="5" t="str">
        <f>"李梦莲"</f>
        <v>李梦莲</v>
      </c>
      <c r="H223" s="5" t="str">
        <f>"112000424"</f>
        <v>112000424</v>
      </c>
      <c r="I223" s="5">
        <v>0</v>
      </c>
      <c r="J223" s="5" t="s">
        <v>15</v>
      </c>
    </row>
    <row r="224" s="1" customFormat="1" spans="1:10">
      <c r="A224" s="5">
        <v>221</v>
      </c>
      <c r="B224" s="5" t="s">
        <v>20</v>
      </c>
      <c r="C224" s="5" t="s">
        <v>21</v>
      </c>
      <c r="D224" s="5" t="str">
        <f t="shared" si="5"/>
        <v>20220204001</v>
      </c>
      <c r="E224" s="5">
        <v>2</v>
      </c>
      <c r="F224" s="5" t="s">
        <v>14</v>
      </c>
      <c r="G224" s="5" t="str">
        <f>"双明慧"</f>
        <v>双明慧</v>
      </c>
      <c r="H224" s="5" t="str">
        <f>"112000704"</f>
        <v>112000704</v>
      </c>
      <c r="I224" s="5">
        <v>0</v>
      </c>
      <c r="J224" s="5" t="s">
        <v>15</v>
      </c>
    </row>
    <row r="225" s="1" customFormat="1" spans="1:10">
      <c r="A225" s="5">
        <v>222</v>
      </c>
      <c r="B225" s="5" t="s">
        <v>20</v>
      </c>
      <c r="C225" s="5" t="s">
        <v>21</v>
      </c>
      <c r="D225" s="5" t="str">
        <f t="shared" si="5"/>
        <v>20220204001</v>
      </c>
      <c r="E225" s="5">
        <v>2</v>
      </c>
      <c r="F225" s="5" t="s">
        <v>14</v>
      </c>
      <c r="G225" s="5" t="str">
        <f>"孟颖"</f>
        <v>孟颖</v>
      </c>
      <c r="H225" s="5" t="str">
        <f>"112001007"</f>
        <v>112001007</v>
      </c>
      <c r="I225" s="5">
        <v>0</v>
      </c>
      <c r="J225" s="5" t="s">
        <v>15</v>
      </c>
    </row>
    <row r="226" s="1" customFormat="1" spans="1:10">
      <c r="A226" s="5">
        <v>223</v>
      </c>
      <c r="B226" s="5" t="s">
        <v>20</v>
      </c>
      <c r="C226" s="5" t="s">
        <v>21</v>
      </c>
      <c r="D226" s="5" t="str">
        <f t="shared" si="5"/>
        <v>20220204001</v>
      </c>
      <c r="E226" s="5">
        <v>2</v>
      </c>
      <c r="F226" s="5" t="s">
        <v>14</v>
      </c>
      <c r="G226" s="5" t="str">
        <f>"徐钒栋"</f>
        <v>徐钒栋</v>
      </c>
      <c r="H226" s="5" t="str">
        <f>"112001206"</f>
        <v>112001206</v>
      </c>
      <c r="I226" s="5">
        <v>0</v>
      </c>
      <c r="J226" s="5" t="s">
        <v>15</v>
      </c>
    </row>
    <row r="227" s="1" customFormat="1" spans="1:10">
      <c r="A227" s="5">
        <v>224</v>
      </c>
      <c r="B227" s="5" t="s">
        <v>20</v>
      </c>
      <c r="C227" s="5" t="s">
        <v>21</v>
      </c>
      <c r="D227" s="5" t="str">
        <f t="shared" si="5"/>
        <v>20220204001</v>
      </c>
      <c r="E227" s="5">
        <v>2</v>
      </c>
      <c r="F227" s="5" t="s">
        <v>14</v>
      </c>
      <c r="G227" s="5" t="str">
        <f>"陈力"</f>
        <v>陈力</v>
      </c>
      <c r="H227" s="5" t="str">
        <f>"112001319"</f>
        <v>112001319</v>
      </c>
      <c r="I227" s="5">
        <v>0</v>
      </c>
      <c r="J227" s="5" t="s">
        <v>15</v>
      </c>
    </row>
    <row r="228" s="1" customFormat="1" spans="1:10">
      <c r="A228" s="5">
        <v>225</v>
      </c>
      <c r="B228" s="5" t="s">
        <v>20</v>
      </c>
      <c r="C228" s="5" t="s">
        <v>21</v>
      </c>
      <c r="D228" s="5" t="str">
        <f t="shared" si="5"/>
        <v>20220204001</v>
      </c>
      <c r="E228" s="5">
        <v>2</v>
      </c>
      <c r="F228" s="5" t="s">
        <v>14</v>
      </c>
      <c r="G228" s="5" t="str">
        <f>"曾悦"</f>
        <v>曾悦</v>
      </c>
      <c r="H228" s="5" t="str">
        <f>"112001608"</f>
        <v>112001608</v>
      </c>
      <c r="I228" s="5">
        <v>0</v>
      </c>
      <c r="J228" s="5" t="s">
        <v>15</v>
      </c>
    </row>
    <row r="229" s="1" customFormat="1" spans="1:10">
      <c r="A229" s="5">
        <v>226</v>
      </c>
      <c r="B229" s="5" t="s">
        <v>22</v>
      </c>
      <c r="C229" s="5" t="s">
        <v>23</v>
      </c>
      <c r="D229" s="5" t="str">
        <f t="shared" ref="D229:D240" si="6">"20220205001"</f>
        <v>20220205001</v>
      </c>
      <c r="E229" s="5">
        <v>1</v>
      </c>
      <c r="F229" s="5" t="s">
        <v>14</v>
      </c>
      <c r="G229" s="5" t="str">
        <f>"何芳"</f>
        <v>何芳</v>
      </c>
      <c r="H229" s="5" t="str">
        <f>"112000720"</f>
        <v>112000720</v>
      </c>
      <c r="I229" s="5">
        <v>108.08</v>
      </c>
      <c r="J229" s="5"/>
    </row>
    <row r="230" s="1" customFormat="1" spans="1:10">
      <c r="A230" s="5">
        <v>227</v>
      </c>
      <c r="B230" s="5" t="s">
        <v>22</v>
      </c>
      <c r="C230" s="5" t="s">
        <v>23</v>
      </c>
      <c r="D230" s="5" t="str">
        <f t="shared" si="6"/>
        <v>20220205001</v>
      </c>
      <c r="E230" s="5">
        <v>1</v>
      </c>
      <c r="F230" s="5" t="s">
        <v>14</v>
      </c>
      <c r="G230" s="5" t="str">
        <f>"严静"</f>
        <v>严静</v>
      </c>
      <c r="H230" s="5" t="str">
        <f>"112000106"</f>
        <v>112000106</v>
      </c>
      <c r="I230" s="5">
        <v>100.08</v>
      </c>
      <c r="J230" s="5"/>
    </row>
    <row r="231" s="1" customFormat="1" spans="1:10">
      <c r="A231" s="5">
        <v>228</v>
      </c>
      <c r="B231" s="5" t="s">
        <v>22</v>
      </c>
      <c r="C231" s="5" t="s">
        <v>23</v>
      </c>
      <c r="D231" s="5" t="str">
        <f t="shared" si="6"/>
        <v>20220205001</v>
      </c>
      <c r="E231" s="5">
        <v>1</v>
      </c>
      <c r="F231" s="5" t="s">
        <v>14</v>
      </c>
      <c r="G231" s="5" t="str">
        <f>"谭蓉"</f>
        <v>谭蓉</v>
      </c>
      <c r="H231" s="5" t="str">
        <f>"112000213"</f>
        <v>112000213</v>
      </c>
      <c r="I231" s="5">
        <v>97.32</v>
      </c>
      <c r="J231" s="5"/>
    </row>
    <row r="232" s="1" customFormat="1" spans="1:10">
      <c r="A232" s="5">
        <v>229</v>
      </c>
      <c r="B232" s="5" t="s">
        <v>22</v>
      </c>
      <c r="C232" s="5" t="s">
        <v>23</v>
      </c>
      <c r="D232" s="5" t="str">
        <f t="shared" si="6"/>
        <v>20220205001</v>
      </c>
      <c r="E232" s="5">
        <v>1</v>
      </c>
      <c r="F232" s="5" t="s">
        <v>14</v>
      </c>
      <c r="G232" s="5" t="str">
        <f>"胡宏鸣"</f>
        <v>胡宏鸣</v>
      </c>
      <c r="H232" s="5" t="str">
        <f>"112000417"</f>
        <v>112000417</v>
      </c>
      <c r="I232" s="5">
        <v>94.28</v>
      </c>
      <c r="J232" s="5"/>
    </row>
    <row r="233" s="1" customFormat="1" spans="1:10">
      <c r="A233" s="5">
        <v>230</v>
      </c>
      <c r="B233" s="5" t="s">
        <v>22</v>
      </c>
      <c r="C233" s="5" t="s">
        <v>23</v>
      </c>
      <c r="D233" s="5" t="str">
        <f t="shared" si="6"/>
        <v>20220205001</v>
      </c>
      <c r="E233" s="5">
        <v>1</v>
      </c>
      <c r="F233" s="5" t="s">
        <v>14</v>
      </c>
      <c r="G233" s="5" t="str">
        <f>"陈璐瑶"</f>
        <v>陈璐瑶</v>
      </c>
      <c r="H233" s="5" t="str">
        <f>"112000903"</f>
        <v>112000903</v>
      </c>
      <c r="I233" s="5">
        <v>90.76</v>
      </c>
      <c r="J233" s="5"/>
    </row>
    <row r="234" s="1" customFormat="1" spans="1:10">
      <c r="A234" s="5">
        <v>231</v>
      </c>
      <c r="B234" s="5" t="s">
        <v>22</v>
      </c>
      <c r="C234" s="5" t="s">
        <v>23</v>
      </c>
      <c r="D234" s="5" t="str">
        <f t="shared" si="6"/>
        <v>20220205001</v>
      </c>
      <c r="E234" s="5">
        <v>1</v>
      </c>
      <c r="F234" s="5" t="s">
        <v>14</v>
      </c>
      <c r="G234" s="5" t="str">
        <f>"夏敏林"</f>
        <v>夏敏林</v>
      </c>
      <c r="H234" s="5" t="str">
        <f>"112001027"</f>
        <v>112001027</v>
      </c>
      <c r="I234" s="5">
        <v>90.16</v>
      </c>
      <c r="J234" s="5"/>
    </row>
    <row r="235" s="1" customFormat="1" spans="1:10">
      <c r="A235" s="5">
        <v>232</v>
      </c>
      <c r="B235" s="5" t="s">
        <v>22</v>
      </c>
      <c r="C235" s="5" t="s">
        <v>23</v>
      </c>
      <c r="D235" s="5" t="str">
        <f t="shared" si="6"/>
        <v>20220205001</v>
      </c>
      <c r="E235" s="5">
        <v>1</v>
      </c>
      <c r="F235" s="5" t="s">
        <v>14</v>
      </c>
      <c r="G235" s="5" t="str">
        <f>"吴恩"</f>
        <v>吴恩</v>
      </c>
      <c r="H235" s="5" t="str">
        <f>"112001107"</f>
        <v>112001107</v>
      </c>
      <c r="I235" s="5">
        <v>87.68</v>
      </c>
      <c r="J235" s="5"/>
    </row>
    <row r="236" s="1" customFormat="1" spans="1:10">
      <c r="A236" s="5">
        <v>233</v>
      </c>
      <c r="B236" s="5" t="s">
        <v>22</v>
      </c>
      <c r="C236" s="5" t="s">
        <v>23</v>
      </c>
      <c r="D236" s="5" t="str">
        <f t="shared" si="6"/>
        <v>20220205001</v>
      </c>
      <c r="E236" s="5">
        <v>1</v>
      </c>
      <c r="F236" s="5" t="s">
        <v>14</v>
      </c>
      <c r="G236" s="5" t="str">
        <f>"陈静"</f>
        <v>陈静</v>
      </c>
      <c r="H236" s="5" t="str">
        <f>"112001120"</f>
        <v>112001120</v>
      </c>
      <c r="I236" s="5">
        <v>84.68</v>
      </c>
      <c r="J236" s="5"/>
    </row>
    <row r="237" s="1" customFormat="1" spans="1:10">
      <c r="A237" s="5">
        <v>234</v>
      </c>
      <c r="B237" s="5" t="s">
        <v>22</v>
      </c>
      <c r="C237" s="5" t="s">
        <v>23</v>
      </c>
      <c r="D237" s="5" t="str">
        <f t="shared" si="6"/>
        <v>20220205001</v>
      </c>
      <c r="E237" s="5">
        <v>1</v>
      </c>
      <c r="F237" s="5" t="s">
        <v>14</v>
      </c>
      <c r="G237" s="5" t="str">
        <f>"柯璐菲"</f>
        <v>柯璐菲</v>
      </c>
      <c r="H237" s="5" t="str">
        <f>"112000619"</f>
        <v>112000619</v>
      </c>
      <c r="I237" s="5">
        <v>0</v>
      </c>
      <c r="J237" s="5" t="s">
        <v>15</v>
      </c>
    </row>
    <row r="238" s="1" customFormat="1" spans="1:10">
      <c r="A238" s="5">
        <v>235</v>
      </c>
      <c r="B238" s="5" t="s">
        <v>22</v>
      </c>
      <c r="C238" s="5" t="s">
        <v>23</v>
      </c>
      <c r="D238" s="5" t="str">
        <f t="shared" si="6"/>
        <v>20220205001</v>
      </c>
      <c r="E238" s="5">
        <v>1</v>
      </c>
      <c r="F238" s="5" t="s">
        <v>14</v>
      </c>
      <c r="G238" s="5" t="str">
        <f>"张海双"</f>
        <v>张海双</v>
      </c>
      <c r="H238" s="5" t="str">
        <f>"112000816"</f>
        <v>112000816</v>
      </c>
      <c r="I238" s="5">
        <v>0</v>
      </c>
      <c r="J238" s="5" t="s">
        <v>15</v>
      </c>
    </row>
    <row r="239" s="1" customFormat="1" spans="1:10">
      <c r="A239" s="5">
        <v>236</v>
      </c>
      <c r="B239" s="5" t="s">
        <v>22</v>
      </c>
      <c r="C239" s="5" t="s">
        <v>23</v>
      </c>
      <c r="D239" s="5" t="str">
        <f t="shared" si="6"/>
        <v>20220205001</v>
      </c>
      <c r="E239" s="5">
        <v>1</v>
      </c>
      <c r="F239" s="5" t="s">
        <v>14</v>
      </c>
      <c r="G239" s="5" t="str">
        <f>"刘三忠"</f>
        <v>刘三忠</v>
      </c>
      <c r="H239" s="5" t="str">
        <f>"112000922"</f>
        <v>112000922</v>
      </c>
      <c r="I239" s="5">
        <v>0</v>
      </c>
      <c r="J239" s="5" t="s">
        <v>15</v>
      </c>
    </row>
    <row r="240" s="1" customFormat="1" spans="1:10">
      <c r="A240" s="5">
        <v>237</v>
      </c>
      <c r="B240" s="5" t="s">
        <v>22</v>
      </c>
      <c r="C240" s="5" t="s">
        <v>23</v>
      </c>
      <c r="D240" s="5" t="str">
        <f t="shared" si="6"/>
        <v>20220205001</v>
      </c>
      <c r="E240" s="5">
        <v>1</v>
      </c>
      <c r="F240" s="5" t="s">
        <v>14</v>
      </c>
      <c r="G240" s="5" t="str">
        <f>"牟青青"</f>
        <v>牟青青</v>
      </c>
      <c r="H240" s="5" t="str">
        <f>"112001613"</f>
        <v>112001613</v>
      </c>
      <c r="I240" s="5">
        <v>0</v>
      </c>
      <c r="J240" s="5" t="s">
        <v>15</v>
      </c>
    </row>
    <row r="241" s="1" customFormat="1" spans="1:10">
      <c r="A241" s="5">
        <v>238</v>
      </c>
      <c r="B241" s="5" t="s">
        <v>24</v>
      </c>
      <c r="C241" s="5" t="s">
        <v>25</v>
      </c>
      <c r="D241" s="5" t="str">
        <f t="shared" ref="D241:D249" si="7">"20220206001"</f>
        <v>20220206001</v>
      </c>
      <c r="E241" s="5">
        <v>1</v>
      </c>
      <c r="F241" s="5" t="s">
        <v>14</v>
      </c>
      <c r="G241" s="5" t="str">
        <f>"胡红伟"</f>
        <v>胡红伟</v>
      </c>
      <c r="H241" s="5" t="str">
        <f>"112001106"</f>
        <v>112001106</v>
      </c>
      <c r="I241" s="5">
        <v>104.96</v>
      </c>
      <c r="J241" s="5"/>
    </row>
    <row r="242" s="1" customFormat="1" spans="1:10">
      <c r="A242" s="5">
        <v>239</v>
      </c>
      <c r="B242" s="5" t="s">
        <v>24</v>
      </c>
      <c r="C242" s="5" t="s">
        <v>25</v>
      </c>
      <c r="D242" s="5" t="str">
        <f t="shared" si="7"/>
        <v>20220206001</v>
      </c>
      <c r="E242" s="5">
        <v>1</v>
      </c>
      <c r="F242" s="5" t="s">
        <v>14</v>
      </c>
      <c r="G242" s="5" t="str">
        <f>"蒋园"</f>
        <v>蒋园</v>
      </c>
      <c r="H242" s="5" t="str">
        <f>"112000212"</f>
        <v>112000212</v>
      </c>
      <c r="I242" s="5">
        <v>93.76</v>
      </c>
      <c r="J242" s="5"/>
    </row>
    <row r="243" s="1" customFormat="1" spans="1:10">
      <c r="A243" s="5">
        <v>240</v>
      </c>
      <c r="B243" s="5" t="s">
        <v>24</v>
      </c>
      <c r="C243" s="5" t="s">
        <v>25</v>
      </c>
      <c r="D243" s="5" t="str">
        <f t="shared" si="7"/>
        <v>20220206001</v>
      </c>
      <c r="E243" s="5">
        <v>1</v>
      </c>
      <c r="F243" s="5" t="s">
        <v>14</v>
      </c>
      <c r="G243" s="5" t="str">
        <f>"朱霈"</f>
        <v>朱霈</v>
      </c>
      <c r="H243" s="5" t="str">
        <f>"112000728"</f>
        <v>112000728</v>
      </c>
      <c r="I243" s="5">
        <v>89.92</v>
      </c>
      <c r="J243" s="5"/>
    </row>
    <row r="244" s="1" customFormat="1" spans="1:10">
      <c r="A244" s="5">
        <v>241</v>
      </c>
      <c r="B244" s="5" t="s">
        <v>24</v>
      </c>
      <c r="C244" s="5" t="s">
        <v>25</v>
      </c>
      <c r="D244" s="5" t="str">
        <f t="shared" si="7"/>
        <v>20220206001</v>
      </c>
      <c r="E244" s="5">
        <v>1</v>
      </c>
      <c r="F244" s="5" t="s">
        <v>14</v>
      </c>
      <c r="G244" s="5" t="str">
        <f>"鲁哲"</f>
        <v>鲁哲</v>
      </c>
      <c r="H244" s="5" t="str">
        <f>"112001304"</f>
        <v>112001304</v>
      </c>
      <c r="I244" s="5">
        <v>85.24</v>
      </c>
      <c r="J244" s="5"/>
    </row>
    <row r="245" s="1" customFormat="1" spans="1:10">
      <c r="A245" s="5">
        <v>242</v>
      </c>
      <c r="B245" s="5" t="s">
        <v>24</v>
      </c>
      <c r="C245" s="5" t="s">
        <v>25</v>
      </c>
      <c r="D245" s="5" t="str">
        <f t="shared" si="7"/>
        <v>20220206001</v>
      </c>
      <c r="E245" s="5">
        <v>1</v>
      </c>
      <c r="F245" s="5" t="s">
        <v>14</v>
      </c>
      <c r="G245" s="5" t="str">
        <f>"江世灏"</f>
        <v>江世灏</v>
      </c>
      <c r="H245" s="5" t="str">
        <f>"112001720"</f>
        <v>112001720</v>
      </c>
      <c r="I245" s="5">
        <v>84.44</v>
      </c>
      <c r="J245" s="5"/>
    </row>
    <row r="246" s="1" customFormat="1" spans="1:10">
      <c r="A246" s="5">
        <v>243</v>
      </c>
      <c r="B246" s="5" t="s">
        <v>24</v>
      </c>
      <c r="C246" s="5" t="s">
        <v>25</v>
      </c>
      <c r="D246" s="5" t="str">
        <f t="shared" si="7"/>
        <v>20220206001</v>
      </c>
      <c r="E246" s="5">
        <v>1</v>
      </c>
      <c r="F246" s="5" t="s">
        <v>14</v>
      </c>
      <c r="G246" s="5" t="str">
        <f>"关波"</f>
        <v>关波</v>
      </c>
      <c r="H246" s="5" t="str">
        <f>"112000508"</f>
        <v>112000508</v>
      </c>
      <c r="I246" s="5">
        <v>79.96</v>
      </c>
      <c r="J246" s="5"/>
    </row>
    <row r="247" s="1" customFormat="1" spans="1:10">
      <c r="A247" s="5">
        <v>244</v>
      </c>
      <c r="B247" s="5" t="s">
        <v>24</v>
      </c>
      <c r="C247" s="5" t="s">
        <v>25</v>
      </c>
      <c r="D247" s="5" t="str">
        <f t="shared" si="7"/>
        <v>20220206001</v>
      </c>
      <c r="E247" s="5">
        <v>1</v>
      </c>
      <c r="F247" s="5" t="s">
        <v>14</v>
      </c>
      <c r="G247" s="5" t="str">
        <f>"沈瑞"</f>
        <v>沈瑞</v>
      </c>
      <c r="H247" s="5" t="str">
        <f>"112001501"</f>
        <v>112001501</v>
      </c>
      <c r="I247" s="5">
        <v>78.16</v>
      </c>
      <c r="J247" s="5"/>
    </row>
    <row r="248" s="1" customFormat="1" spans="1:10">
      <c r="A248" s="5">
        <v>245</v>
      </c>
      <c r="B248" s="5" t="s">
        <v>24</v>
      </c>
      <c r="C248" s="5" t="s">
        <v>25</v>
      </c>
      <c r="D248" s="5" t="str">
        <f t="shared" si="7"/>
        <v>20220206001</v>
      </c>
      <c r="E248" s="5">
        <v>1</v>
      </c>
      <c r="F248" s="5" t="s">
        <v>14</v>
      </c>
      <c r="G248" s="5" t="str">
        <f>"赵云倩"</f>
        <v>赵云倩</v>
      </c>
      <c r="H248" s="5" t="str">
        <f>"112000705"</f>
        <v>112000705</v>
      </c>
      <c r="I248" s="5">
        <v>0</v>
      </c>
      <c r="J248" s="5" t="s">
        <v>15</v>
      </c>
    </row>
    <row r="249" s="1" customFormat="1" spans="1:10">
      <c r="A249" s="5">
        <v>246</v>
      </c>
      <c r="B249" s="5" t="s">
        <v>24</v>
      </c>
      <c r="C249" s="5" t="s">
        <v>25</v>
      </c>
      <c r="D249" s="5" t="str">
        <f t="shared" si="7"/>
        <v>20220206001</v>
      </c>
      <c r="E249" s="5">
        <v>1</v>
      </c>
      <c r="F249" s="5" t="s">
        <v>14</v>
      </c>
      <c r="G249" s="5" t="str">
        <f>"张彬"</f>
        <v>张彬</v>
      </c>
      <c r="H249" s="5" t="str">
        <f>"112001821"</f>
        <v>112001821</v>
      </c>
      <c r="I249" s="5">
        <v>0</v>
      </c>
      <c r="J249" s="5" t="s">
        <v>15</v>
      </c>
    </row>
    <row r="250" s="1" customFormat="1" spans="1:10">
      <c r="A250" s="5">
        <v>247</v>
      </c>
      <c r="B250" s="5" t="s">
        <v>26</v>
      </c>
      <c r="C250" s="5" t="s">
        <v>27</v>
      </c>
      <c r="D250" s="5" t="str">
        <f t="shared" ref="D250:D252" si="8">"20220207001"</f>
        <v>20220207001</v>
      </c>
      <c r="E250" s="5">
        <v>1</v>
      </c>
      <c r="F250" s="5" t="s">
        <v>14</v>
      </c>
      <c r="G250" s="5" t="str">
        <f>"罗薇"</f>
        <v>罗薇</v>
      </c>
      <c r="H250" s="5" t="str">
        <f>"112000519"</f>
        <v>112000519</v>
      </c>
      <c r="I250" s="5">
        <v>100.96</v>
      </c>
      <c r="J250" s="5"/>
    </row>
    <row r="251" s="1" customFormat="1" spans="1:10">
      <c r="A251" s="5">
        <v>248</v>
      </c>
      <c r="B251" s="5" t="s">
        <v>26</v>
      </c>
      <c r="C251" s="5" t="s">
        <v>27</v>
      </c>
      <c r="D251" s="5" t="str">
        <f t="shared" si="8"/>
        <v>20220207001</v>
      </c>
      <c r="E251" s="5">
        <v>1</v>
      </c>
      <c r="F251" s="5" t="s">
        <v>14</v>
      </c>
      <c r="G251" s="5" t="str">
        <f>"严雪晴"</f>
        <v>严雪晴</v>
      </c>
      <c r="H251" s="5" t="str">
        <f>"112000509"</f>
        <v>112000509</v>
      </c>
      <c r="I251" s="5">
        <v>0</v>
      </c>
      <c r="J251" s="5" t="s">
        <v>15</v>
      </c>
    </row>
    <row r="252" s="1" customFormat="1" spans="1:10">
      <c r="A252" s="5">
        <v>249</v>
      </c>
      <c r="B252" s="5" t="s">
        <v>26</v>
      </c>
      <c r="C252" s="5" t="s">
        <v>27</v>
      </c>
      <c r="D252" s="5" t="str">
        <f t="shared" si="8"/>
        <v>20220207001</v>
      </c>
      <c r="E252" s="5">
        <v>1</v>
      </c>
      <c r="F252" s="5" t="s">
        <v>14</v>
      </c>
      <c r="G252" s="5" t="str">
        <f>"张敏"</f>
        <v>张敏</v>
      </c>
      <c r="H252" s="5" t="str">
        <f>"112000927"</f>
        <v>112000927</v>
      </c>
      <c r="I252" s="5">
        <v>0</v>
      </c>
      <c r="J252" s="5" t="s">
        <v>15</v>
      </c>
    </row>
    <row r="253" s="1" customFormat="1" spans="1:10">
      <c r="A253" s="5">
        <v>250</v>
      </c>
      <c r="B253" s="5" t="s">
        <v>28</v>
      </c>
      <c r="C253" s="5" t="s">
        <v>29</v>
      </c>
      <c r="D253" s="5" t="str">
        <f t="shared" ref="D253:D261" si="9">"20220208001"</f>
        <v>20220208001</v>
      </c>
      <c r="E253" s="5">
        <v>1</v>
      </c>
      <c r="F253" s="5" t="s">
        <v>14</v>
      </c>
      <c r="G253" s="5" t="str">
        <f>"向涛"</f>
        <v>向涛</v>
      </c>
      <c r="H253" s="5" t="str">
        <f>"112001527"</f>
        <v>112001527</v>
      </c>
      <c r="I253" s="5">
        <v>115.2</v>
      </c>
      <c r="J253" s="5"/>
    </row>
    <row r="254" s="1" customFormat="1" spans="1:10">
      <c r="A254" s="5">
        <v>251</v>
      </c>
      <c r="B254" s="5" t="s">
        <v>28</v>
      </c>
      <c r="C254" s="5" t="s">
        <v>29</v>
      </c>
      <c r="D254" s="5" t="str">
        <f t="shared" si="9"/>
        <v>20220208001</v>
      </c>
      <c r="E254" s="5">
        <v>1</v>
      </c>
      <c r="F254" s="5" t="s">
        <v>14</v>
      </c>
      <c r="G254" s="5" t="str">
        <f>"丁颖"</f>
        <v>丁颖</v>
      </c>
      <c r="H254" s="5" t="str">
        <f>"112001217"</f>
        <v>112001217</v>
      </c>
      <c r="I254" s="5">
        <v>112.08</v>
      </c>
      <c r="J254" s="5"/>
    </row>
    <row r="255" s="1" customFormat="1" spans="1:10">
      <c r="A255" s="5">
        <v>252</v>
      </c>
      <c r="B255" s="5" t="s">
        <v>28</v>
      </c>
      <c r="C255" s="5" t="s">
        <v>29</v>
      </c>
      <c r="D255" s="5" t="str">
        <f t="shared" si="9"/>
        <v>20220208001</v>
      </c>
      <c r="E255" s="5">
        <v>1</v>
      </c>
      <c r="F255" s="5" t="s">
        <v>14</v>
      </c>
      <c r="G255" s="5" t="str">
        <f>"陈婷"</f>
        <v>陈婷</v>
      </c>
      <c r="H255" s="5" t="str">
        <f>"112001317"</f>
        <v>112001317</v>
      </c>
      <c r="I255" s="5">
        <v>108.8</v>
      </c>
      <c r="J255" s="5"/>
    </row>
    <row r="256" s="1" customFormat="1" spans="1:10">
      <c r="A256" s="5">
        <v>253</v>
      </c>
      <c r="B256" s="5" t="s">
        <v>28</v>
      </c>
      <c r="C256" s="5" t="s">
        <v>29</v>
      </c>
      <c r="D256" s="5" t="str">
        <f t="shared" si="9"/>
        <v>20220208001</v>
      </c>
      <c r="E256" s="5">
        <v>1</v>
      </c>
      <c r="F256" s="5" t="s">
        <v>14</v>
      </c>
      <c r="G256" s="5" t="str">
        <f>"张孝德"</f>
        <v>张孝德</v>
      </c>
      <c r="H256" s="5" t="str">
        <f>"112001526"</f>
        <v>112001526</v>
      </c>
      <c r="I256" s="5">
        <v>91.16</v>
      </c>
      <c r="J256" s="5"/>
    </row>
    <row r="257" s="1" customFormat="1" spans="1:10">
      <c r="A257" s="5">
        <v>254</v>
      </c>
      <c r="B257" s="5" t="s">
        <v>28</v>
      </c>
      <c r="C257" s="5" t="s">
        <v>29</v>
      </c>
      <c r="D257" s="5" t="str">
        <f t="shared" si="9"/>
        <v>20220208001</v>
      </c>
      <c r="E257" s="5">
        <v>1</v>
      </c>
      <c r="F257" s="5" t="s">
        <v>14</v>
      </c>
      <c r="G257" s="5" t="str">
        <f>"侯昕宇"</f>
        <v>侯昕宇</v>
      </c>
      <c r="H257" s="5" t="str">
        <f>"112000610"</f>
        <v>112000610</v>
      </c>
      <c r="I257" s="5">
        <v>87.4</v>
      </c>
      <c r="J257" s="5"/>
    </row>
    <row r="258" s="1" customFormat="1" spans="1:10">
      <c r="A258" s="5">
        <v>255</v>
      </c>
      <c r="B258" s="5" t="s">
        <v>28</v>
      </c>
      <c r="C258" s="5" t="s">
        <v>29</v>
      </c>
      <c r="D258" s="5" t="str">
        <f t="shared" si="9"/>
        <v>20220208001</v>
      </c>
      <c r="E258" s="5">
        <v>1</v>
      </c>
      <c r="F258" s="5" t="s">
        <v>14</v>
      </c>
      <c r="G258" s="5" t="str">
        <f>"黄松"</f>
        <v>黄松</v>
      </c>
      <c r="H258" s="5" t="str">
        <f>"112001823"</f>
        <v>112001823</v>
      </c>
      <c r="I258" s="5">
        <v>85.52</v>
      </c>
      <c r="J258" s="5"/>
    </row>
    <row r="259" s="1" customFormat="1" spans="1:10">
      <c r="A259" s="5">
        <v>256</v>
      </c>
      <c r="B259" s="5" t="s">
        <v>28</v>
      </c>
      <c r="C259" s="5" t="s">
        <v>29</v>
      </c>
      <c r="D259" s="5" t="str">
        <f t="shared" si="9"/>
        <v>20220208001</v>
      </c>
      <c r="E259" s="5">
        <v>1</v>
      </c>
      <c r="F259" s="5" t="s">
        <v>14</v>
      </c>
      <c r="G259" s="5" t="str">
        <f>"吴丽娅"</f>
        <v>吴丽娅</v>
      </c>
      <c r="H259" s="5" t="str">
        <f>"112000505"</f>
        <v>112000505</v>
      </c>
      <c r="I259" s="5">
        <v>77.92</v>
      </c>
      <c r="J259" s="5"/>
    </row>
    <row r="260" s="1" customFormat="1" spans="1:10">
      <c r="A260" s="5">
        <v>257</v>
      </c>
      <c r="B260" s="5" t="s">
        <v>28</v>
      </c>
      <c r="C260" s="5" t="s">
        <v>29</v>
      </c>
      <c r="D260" s="5" t="str">
        <f t="shared" si="9"/>
        <v>20220208001</v>
      </c>
      <c r="E260" s="5">
        <v>1</v>
      </c>
      <c r="F260" s="5" t="s">
        <v>14</v>
      </c>
      <c r="G260" s="5" t="str">
        <f>"范逸宸"</f>
        <v>范逸宸</v>
      </c>
      <c r="H260" s="5" t="str">
        <f>"112000114"</f>
        <v>112000114</v>
      </c>
      <c r="I260" s="5">
        <v>75.08</v>
      </c>
      <c r="J260" s="5"/>
    </row>
    <row r="261" s="1" customFormat="1" spans="1:10">
      <c r="A261" s="5">
        <v>258</v>
      </c>
      <c r="B261" s="5" t="s">
        <v>28</v>
      </c>
      <c r="C261" s="5" t="s">
        <v>29</v>
      </c>
      <c r="D261" s="5" t="str">
        <f t="shared" si="9"/>
        <v>20220208001</v>
      </c>
      <c r="E261" s="5">
        <v>1</v>
      </c>
      <c r="F261" s="5" t="s">
        <v>14</v>
      </c>
      <c r="G261" s="5" t="str">
        <f>"贾秋梦"</f>
        <v>贾秋梦</v>
      </c>
      <c r="H261" s="5" t="str">
        <f>"112000801"</f>
        <v>112000801</v>
      </c>
      <c r="I261" s="5">
        <v>0</v>
      </c>
      <c r="J261" s="5" t="s">
        <v>15</v>
      </c>
    </row>
    <row r="262" s="1" customFormat="1" spans="1:10">
      <c r="A262" s="5">
        <v>259</v>
      </c>
      <c r="B262" s="5" t="s">
        <v>30</v>
      </c>
      <c r="C262" s="5" t="s">
        <v>31</v>
      </c>
      <c r="D262" s="5" t="str">
        <f t="shared" ref="D262:D285" si="10">"20220209001"</f>
        <v>20220209001</v>
      </c>
      <c r="E262" s="5">
        <v>1</v>
      </c>
      <c r="F262" s="5" t="s">
        <v>14</v>
      </c>
      <c r="G262" s="5" t="str">
        <f>"胡梦媛"</f>
        <v>胡梦媛</v>
      </c>
      <c r="H262" s="5" t="str">
        <f>"112001928"</f>
        <v>112001928</v>
      </c>
      <c r="I262" s="5">
        <v>111.84</v>
      </c>
      <c r="J262" s="5"/>
    </row>
    <row r="263" s="1" customFormat="1" spans="1:10">
      <c r="A263" s="5">
        <v>260</v>
      </c>
      <c r="B263" s="5" t="s">
        <v>30</v>
      </c>
      <c r="C263" s="5" t="s">
        <v>31</v>
      </c>
      <c r="D263" s="5" t="str">
        <f t="shared" si="10"/>
        <v>20220209001</v>
      </c>
      <c r="E263" s="5">
        <v>1</v>
      </c>
      <c r="F263" s="5" t="s">
        <v>14</v>
      </c>
      <c r="G263" s="5" t="str">
        <f>"汪佳奇"</f>
        <v>汪佳奇</v>
      </c>
      <c r="H263" s="5" t="str">
        <f>"112001309"</f>
        <v>112001309</v>
      </c>
      <c r="I263" s="5">
        <v>110.52</v>
      </c>
      <c r="J263" s="5"/>
    </row>
    <row r="264" s="1" customFormat="1" spans="1:10">
      <c r="A264" s="5">
        <v>261</v>
      </c>
      <c r="B264" s="5" t="s">
        <v>30</v>
      </c>
      <c r="C264" s="5" t="s">
        <v>31</v>
      </c>
      <c r="D264" s="5" t="str">
        <f t="shared" si="10"/>
        <v>20220209001</v>
      </c>
      <c r="E264" s="5">
        <v>1</v>
      </c>
      <c r="F264" s="5" t="s">
        <v>14</v>
      </c>
      <c r="G264" s="5" t="str">
        <f>"陈雷"</f>
        <v>陈雷</v>
      </c>
      <c r="H264" s="5" t="str">
        <f>"112000109"</f>
        <v>112000109</v>
      </c>
      <c r="I264" s="5">
        <v>107.88</v>
      </c>
      <c r="J264" s="5"/>
    </row>
    <row r="265" s="1" customFormat="1" spans="1:10">
      <c r="A265" s="5">
        <v>262</v>
      </c>
      <c r="B265" s="5" t="s">
        <v>30</v>
      </c>
      <c r="C265" s="5" t="s">
        <v>31</v>
      </c>
      <c r="D265" s="5" t="str">
        <f t="shared" si="10"/>
        <v>20220209001</v>
      </c>
      <c r="E265" s="5">
        <v>1</v>
      </c>
      <c r="F265" s="5" t="s">
        <v>14</v>
      </c>
      <c r="G265" s="5" t="str">
        <f>"毛宇宇"</f>
        <v>毛宇宇</v>
      </c>
      <c r="H265" s="5" t="str">
        <f>"112000406"</f>
        <v>112000406</v>
      </c>
      <c r="I265" s="5">
        <v>99.36</v>
      </c>
      <c r="J265" s="5"/>
    </row>
    <row r="266" s="1" customFormat="1" spans="1:10">
      <c r="A266" s="5">
        <v>263</v>
      </c>
      <c r="B266" s="5" t="s">
        <v>30</v>
      </c>
      <c r="C266" s="5" t="s">
        <v>31</v>
      </c>
      <c r="D266" s="5" t="str">
        <f t="shared" si="10"/>
        <v>20220209001</v>
      </c>
      <c r="E266" s="5">
        <v>1</v>
      </c>
      <c r="F266" s="5" t="s">
        <v>14</v>
      </c>
      <c r="G266" s="5" t="str">
        <f>"贺悦"</f>
        <v>贺悦</v>
      </c>
      <c r="H266" s="5" t="str">
        <f>"112001327"</f>
        <v>112001327</v>
      </c>
      <c r="I266" s="5">
        <v>99.24</v>
      </c>
      <c r="J266" s="5"/>
    </row>
    <row r="267" s="1" customFormat="1" spans="1:10">
      <c r="A267" s="5">
        <v>264</v>
      </c>
      <c r="B267" s="5" t="s">
        <v>30</v>
      </c>
      <c r="C267" s="5" t="s">
        <v>31</v>
      </c>
      <c r="D267" s="5" t="str">
        <f t="shared" si="10"/>
        <v>20220209001</v>
      </c>
      <c r="E267" s="5">
        <v>1</v>
      </c>
      <c r="F267" s="5" t="s">
        <v>14</v>
      </c>
      <c r="G267" s="5" t="str">
        <f>"刘静"</f>
        <v>刘静</v>
      </c>
      <c r="H267" s="5" t="str">
        <f>"112001405"</f>
        <v>112001405</v>
      </c>
      <c r="I267" s="5">
        <v>97.32</v>
      </c>
      <c r="J267" s="5"/>
    </row>
    <row r="268" s="1" customFormat="1" spans="1:10">
      <c r="A268" s="5">
        <v>265</v>
      </c>
      <c r="B268" s="5" t="s">
        <v>30</v>
      </c>
      <c r="C268" s="5" t="s">
        <v>31</v>
      </c>
      <c r="D268" s="5" t="str">
        <f t="shared" si="10"/>
        <v>20220209001</v>
      </c>
      <c r="E268" s="5">
        <v>1</v>
      </c>
      <c r="F268" s="5" t="s">
        <v>14</v>
      </c>
      <c r="G268" s="5" t="str">
        <f>"陈昊帅"</f>
        <v>陈昊帅</v>
      </c>
      <c r="H268" s="5" t="str">
        <f>"112001817"</f>
        <v>112001817</v>
      </c>
      <c r="I268" s="5">
        <v>97.08</v>
      </c>
      <c r="J268" s="5"/>
    </row>
    <row r="269" s="1" customFormat="1" spans="1:10">
      <c r="A269" s="5">
        <v>266</v>
      </c>
      <c r="B269" s="5" t="s">
        <v>30</v>
      </c>
      <c r="C269" s="5" t="s">
        <v>31</v>
      </c>
      <c r="D269" s="5" t="str">
        <f t="shared" si="10"/>
        <v>20220209001</v>
      </c>
      <c r="E269" s="5">
        <v>1</v>
      </c>
      <c r="F269" s="5" t="s">
        <v>14</v>
      </c>
      <c r="G269" s="5" t="str">
        <f>"杜攀"</f>
        <v>杜攀</v>
      </c>
      <c r="H269" s="5" t="str">
        <f>"112000120"</f>
        <v>112000120</v>
      </c>
      <c r="I269" s="5">
        <v>95.48</v>
      </c>
      <c r="J269" s="5"/>
    </row>
    <row r="270" s="1" customFormat="1" spans="1:10">
      <c r="A270" s="5">
        <v>267</v>
      </c>
      <c r="B270" s="5" t="s">
        <v>30</v>
      </c>
      <c r="C270" s="5" t="s">
        <v>31</v>
      </c>
      <c r="D270" s="5" t="str">
        <f t="shared" si="10"/>
        <v>20220209001</v>
      </c>
      <c r="E270" s="5">
        <v>1</v>
      </c>
      <c r="F270" s="5" t="s">
        <v>14</v>
      </c>
      <c r="G270" s="5" t="str">
        <f>"陈星宇"</f>
        <v>陈星宇</v>
      </c>
      <c r="H270" s="5" t="str">
        <f>"112000429"</f>
        <v>112000429</v>
      </c>
      <c r="I270" s="5">
        <v>93.48</v>
      </c>
      <c r="J270" s="5"/>
    </row>
    <row r="271" s="1" customFormat="1" spans="1:10">
      <c r="A271" s="5">
        <v>268</v>
      </c>
      <c r="B271" s="5" t="s">
        <v>30</v>
      </c>
      <c r="C271" s="5" t="s">
        <v>31</v>
      </c>
      <c r="D271" s="5" t="str">
        <f t="shared" si="10"/>
        <v>20220209001</v>
      </c>
      <c r="E271" s="5">
        <v>1</v>
      </c>
      <c r="F271" s="5" t="s">
        <v>14</v>
      </c>
      <c r="G271" s="5" t="str">
        <f>"梁珊"</f>
        <v>梁珊</v>
      </c>
      <c r="H271" s="5" t="str">
        <f>"112000925"</f>
        <v>112000925</v>
      </c>
      <c r="I271" s="5">
        <v>89.68</v>
      </c>
      <c r="J271" s="5"/>
    </row>
    <row r="272" s="1" customFormat="1" spans="1:10">
      <c r="A272" s="5">
        <v>269</v>
      </c>
      <c r="B272" s="5" t="s">
        <v>30</v>
      </c>
      <c r="C272" s="5" t="s">
        <v>31</v>
      </c>
      <c r="D272" s="5" t="str">
        <f t="shared" si="10"/>
        <v>20220209001</v>
      </c>
      <c r="E272" s="5">
        <v>1</v>
      </c>
      <c r="F272" s="5" t="s">
        <v>14</v>
      </c>
      <c r="G272" s="5" t="str">
        <f>"高芷洁"</f>
        <v>高芷洁</v>
      </c>
      <c r="H272" s="5" t="str">
        <f>"112001009"</f>
        <v>112001009</v>
      </c>
      <c r="I272" s="5">
        <v>88.48</v>
      </c>
      <c r="J272" s="5"/>
    </row>
    <row r="273" s="1" customFormat="1" spans="1:10">
      <c r="A273" s="5">
        <v>270</v>
      </c>
      <c r="B273" s="5" t="s">
        <v>30</v>
      </c>
      <c r="C273" s="5" t="s">
        <v>31</v>
      </c>
      <c r="D273" s="5" t="str">
        <f t="shared" si="10"/>
        <v>20220209001</v>
      </c>
      <c r="E273" s="5">
        <v>1</v>
      </c>
      <c r="F273" s="5" t="s">
        <v>14</v>
      </c>
      <c r="G273" s="5" t="str">
        <f>"邹胜"</f>
        <v>邹胜</v>
      </c>
      <c r="H273" s="5" t="str">
        <f>"112001701"</f>
        <v>112001701</v>
      </c>
      <c r="I273" s="5">
        <v>86.76</v>
      </c>
      <c r="J273" s="5"/>
    </row>
    <row r="274" s="1" customFormat="1" spans="1:10">
      <c r="A274" s="5">
        <v>271</v>
      </c>
      <c r="B274" s="5" t="s">
        <v>30</v>
      </c>
      <c r="C274" s="5" t="s">
        <v>31</v>
      </c>
      <c r="D274" s="5" t="str">
        <f t="shared" si="10"/>
        <v>20220209001</v>
      </c>
      <c r="E274" s="5">
        <v>1</v>
      </c>
      <c r="F274" s="5" t="s">
        <v>14</v>
      </c>
      <c r="G274" s="5" t="str">
        <f>"李律"</f>
        <v>李律</v>
      </c>
      <c r="H274" s="5" t="str">
        <f>"112000529"</f>
        <v>112000529</v>
      </c>
      <c r="I274" s="5">
        <v>81.48</v>
      </c>
      <c r="J274" s="5"/>
    </row>
    <row r="275" s="1" customFormat="1" spans="1:10">
      <c r="A275" s="5">
        <v>272</v>
      </c>
      <c r="B275" s="5" t="s">
        <v>30</v>
      </c>
      <c r="C275" s="5" t="s">
        <v>31</v>
      </c>
      <c r="D275" s="5" t="str">
        <f t="shared" si="10"/>
        <v>20220209001</v>
      </c>
      <c r="E275" s="5">
        <v>1</v>
      </c>
      <c r="F275" s="5" t="s">
        <v>14</v>
      </c>
      <c r="G275" s="5" t="str">
        <f>"卞可"</f>
        <v>卞可</v>
      </c>
      <c r="H275" s="5" t="str">
        <f>"112000712"</f>
        <v>112000712</v>
      </c>
      <c r="I275" s="5">
        <v>77.56</v>
      </c>
      <c r="J275" s="5"/>
    </row>
    <row r="276" s="1" customFormat="1" spans="1:10">
      <c r="A276" s="5">
        <v>273</v>
      </c>
      <c r="B276" s="5" t="s">
        <v>30</v>
      </c>
      <c r="C276" s="5" t="s">
        <v>31</v>
      </c>
      <c r="D276" s="5" t="str">
        <f t="shared" si="10"/>
        <v>20220209001</v>
      </c>
      <c r="E276" s="5">
        <v>1</v>
      </c>
      <c r="F276" s="5" t="s">
        <v>14</v>
      </c>
      <c r="G276" s="5" t="str">
        <f>"王满"</f>
        <v>王满</v>
      </c>
      <c r="H276" s="5" t="str">
        <f>"112000223"</f>
        <v>112000223</v>
      </c>
      <c r="I276" s="5">
        <v>0</v>
      </c>
      <c r="J276" s="5" t="s">
        <v>15</v>
      </c>
    </row>
    <row r="277" s="1" customFormat="1" spans="1:10">
      <c r="A277" s="5">
        <v>274</v>
      </c>
      <c r="B277" s="5" t="s">
        <v>30</v>
      </c>
      <c r="C277" s="5" t="s">
        <v>31</v>
      </c>
      <c r="D277" s="5" t="str">
        <f t="shared" si="10"/>
        <v>20220209001</v>
      </c>
      <c r="E277" s="5">
        <v>1</v>
      </c>
      <c r="F277" s="5" t="s">
        <v>14</v>
      </c>
      <c r="G277" s="5" t="str">
        <f>"万明辉"</f>
        <v>万明辉</v>
      </c>
      <c r="H277" s="5" t="str">
        <f>"112000426"</f>
        <v>112000426</v>
      </c>
      <c r="I277" s="5">
        <v>0</v>
      </c>
      <c r="J277" s="5" t="s">
        <v>15</v>
      </c>
    </row>
    <row r="278" s="1" customFormat="1" spans="1:10">
      <c r="A278" s="5">
        <v>275</v>
      </c>
      <c r="B278" s="5" t="s">
        <v>30</v>
      </c>
      <c r="C278" s="5" t="s">
        <v>31</v>
      </c>
      <c r="D278" s="5" t="str">
        <f t="shared" si="10"/>
        <v>20220209001</v>
      </c>
      <c r="E278" s="5">
        <v>1</v>
      </c>
      <c r="F278" s="5" t="s">
        <v>14</v>
      </c>
      <c r="G278" s="5" t="str">
        <f>"陈雪茹"</f>
        <v>陈雪茹</v>
      </c>
      <c r="H278" s="5" t="str">
        <f>"112000512"</f>
        <v>112000512</v>
      </c>
      <c r="I278" s="5">
        <v>0</v>
      </c>
      <c r="J278" s="5" t="s">
        <v>15</v>
      </c>
    </row>
    <row r="279" s="1" customFormat="1" spans="1:10">
      <c r="A279" s="5">
        <v>276</v>
      </c>
      <c r="B279" s="5" t="s">
        <v>30</v>
      </c>
      <c r="C279" s="5" t="s">
        <v>31</v>
      </c>
      <c r="D279" s="5" t="str">
        <f t="shared" si="10"/>
        <v>20220209001</v>
      </c>
      <c r="E279" s="5">
        <v>1</v>
      </c>
      <c r="F279" s="5" t="s">
        <v>14</v>
      </c>
      <c r="G279" s="5" t="str">
        <f>"门俊帅"</f>
        <v>门俊帅</v>
      </c>
      <c r="H279" s="5" t="str">
        <f>"112000613"</f>
        <v>112000613</v>
      </c>
      <c r="I279" s="5">
        <v>0</v>
      </c>
      <c r="J279" s="5" t="s">
        <v>15</v>
      </c>
    </row>
    <row r="280" s="1" customFormat="1" spans="1:10">
      <c r="A280" s="5">
        <v>277</v>
      </c>
      <c r="B280" s="5" t="s">
        <v>30</v>
      </c>
      <c r="C280" s="5" t="s">
        <v>31</v>
      </c>
      <c r="D280" s="5" t="str">
        <f t="shared" si="10"/>
        <v>20220209001</v>
      </c>
      <c r="E280" s="5">
        <v>1</v>
      </c>
      <c r="F280" s="5" t="s">
        <v>14</v>
      </c>
      <c r="G280" s="5" t="str">
        <f>"魏陈磊"</f>
        <v>魏陈磊</v>
      </c>
      <c r="H280" s="5" t="str">
        <f>"112000706"</f>
        <v>112000706</v>
      </c>
      <c r="I280" s="5">
        <v>0</v>
      </c>
      <c r="J280" s="5" t="s">
        <v>15</v>
      </c>
    </row>
    <row r="281" s="1" customFormat="1" spans="1:10">
      <c r="A281" s="5">
        <v>278</v>
      </c>
      <c r="B281" s="5" t="s">
        <v>30</v>
      </c>
      <c r="C281" s="5" t="s">
        <v>31</v>
      </c>
      <c r="D281" s="5" t="str">
        <f t="shared" si="10"/>
        <v>20220209001</v>
      </c>
      <c r="E281" s="5">
        <v>1</v>
      </c>
      <c r="F281" s="5" t="s">
        <v>14</v>
      </c>
      <c r="G281" s="5" t="str">
        <f>"于冰玉"</f>
        <v>于冰玉</v>
      </c>
      <c r="H281" s="5" t="str">
        <f>"112001115"</f>
        <v>112001115</v>
      </c>
      <c r="I281" s="5">
        <v>0</v>
      </c>
      <c r="J281" s="5" t="s">
        <v>15</v>
      </c>
    </row>
    <row r="282" s="1" customFormat="1" spans="1:10">
      <c r="A282" s="5">
        <v>279</v>
      </c>
      <c r="B282" s="5" t="s">
        <v>30</v>
      </c>
      <c r="C282" s="5" t="s">
        <v>31</v>
      </c>
      <c r="D282" s="5" t="str">
        <f t="shared" si="10"/>
        <v>20220209001</v>
      </c>
      <c r="E282" s="5">
        <v>1</v>
      </c>
      <c r="F282" s="5" t="s">
        <v>14</v>
      </c>
      <c r="G282" s="5" t="str">
        <f>"刘维娜"</f>
        <v>刘维娜</v>
      </c>
      <c r="H282" s="5" t="str">
        <f>"112001407"</f>
        <v>112001407</v>
      </c>
      <c r="I282" s="5">
        <v>0</v>
      </c>
      <c r="J282" s="5" t="s">
        <v>15</v>
      </c>
    </row>
    <row r="283" s="1" customFormat="1" spans="1:10">
      <c r="A283" s="5">
        <v>280</v>
      </c>
      <c r="B283" s="5" t="s">
        <v>30</v>
      </c>
      <c r="C283" s="5" t="s">
        <v>31</v>
      </c>
      <c r="D283" s="5" t="str">
        <f t="shared" si="10"/>
        <v>20220209001</v>
      </c>
      <c r="E283" s="5">
        <v>1</v>
      </c>
      <c r="F283" s="5" t="s">
        <v>14</v>
      </c>
      <c r="G283" s="5" t="str">
        <f>"吴东阳"</f>
        <v>吴东阳</v>
      </c>
      <c r="H283" s="5" t="str">
        <f>"112001708"</f>
        <v>112001708</v>
      </c>
      <c r="I283" s="5">
        <v>0</v>
      </c>
      <c r="J283" s="5" t="s">
        <v>15</v>
      </c>
    </row>
    <row r="284" s="1" customFormat="1" spans="1:10">
      <c r="A284" s="5">
        <v>281</v>
      </c>
      <c r="B284" s="5" t="s">
        <v>30</v>
      </c>
      <c r="C284" s="5" t="s">
        <v>31</v>
      </c>
      <c r="D284" s="5" t="str">
        <f t="shared" si="10"/>
        <v>20220209001</v>
      </c>
      <c r="E284" s="5">
        <v>1</v>
      </c>
      <c r="F284" s="5" t="s">
        <v>14</v>
      </c>
      <c r="G284" s="5" t="str">
        <f>"谭聪"</f>
        <v>谭聪</v>
      </c>
      <c r="H284" s="5" t="str">
        <f>"112001718"</f>
        <v>112001718</v>
      </c>
      <c r="I284" s="5">
        <v>0</v>
      </c>
      <c r="J284" s="5" t="s">
        <v>15</v>
      </c>
    </row>
    <row r="285" s="1" customFormat="1" spans="1:10">
      <c r="A285" s="5">
        <v>282</v>
      </c>
      <c r="B285" s="5" t="s">
        <v>30</v>
      </c>
      <c r="C285" s="5" t="s">
        <v>31</v>
      </c>
      <c r="D285" s="5" t="str">
        <f t="shared" si="10"/>
        <v>20220209001</v>
      </c>
      <c r="E285" s="5">
        <v>1</v>
      </c>
      <c r="F285" s="5" t="s">
        <v>14</v>
      </c>
      <c r="G285" s="5" t="str">
        <f>"王际凯"</f>
        <v>王际凯</v>
      </c>
      <c r="H285" s="5" t="str">
        <f>"112001924"</f>
        <v>112001924</v>
      </c>
      <c r="I285" s="5">
        <v>0</v>
      </c>
      <c r="J285" s="5" t="s">
        <v>15</v>
      </c>
    </row>
    <row r="286" s="1" customFormat="1" spans="1:10">
      <c r="A286" s="5">
        <v>283</v>
      </c>
      <c r="B286" s="5" t="s">
        <v>32</v>
      </c>
      <c r="C286" s="5" t="s">
        <v>33</v>
      </c>
      <c r="D286" s="5" t="str">
        <f t="shared" ref="D286:D333" si="11">"20220210001"</f>
        <v>20220210001</v>
      </c>
      <c r="E286" s="5">
        <v>1</v>
      </c>
      <c r="F286" s="5" t="s">
        <v>14</v>
      </c>
      <c r="G286" s="5" t="str">
        <f>"杨子辉"</f>
        <v>杨子辉</v>
      </c>
      <c r="H286" s="5" t="str">
        <f>"112000116"</f>
        <v>112000116</v>
      </c>
      <c r="I286" s="5">
        <v>105.64</v>
      </c>
      <c r="J286" s="5"/>
    </row>
    <row r="287" s="1" customFormat="1" spans="1:10">
      <c r="A287" s="5">
        <v>284</v>
      </c>
      <c r="B287" s="5" t="s">
        <v>32</v>
      </c>
      <c r="C287" s="5" t="s">
        <v>33</v>
      </c>
      <c r="D287" s="5" t="str">
        <f t="shared" si="11"/>
        <v>20220210001</v>
      </c>
      <c r="E287" s="5">
        <v>1</v>
      </c>
      <c r="F287" s="5" t="s">
        <v>14</v>
      </c>
      <c r="G287" s="5" t="str">
        <f>"冯森"</f>
        <v>冯森</v>
      </c>
      <c r="H287" s="5" t="str">
        <f>"112000111"</f>
        <v>112000111</v>
      </c>
      <c r="I287" s="5">
        <v>101.36</v>
      </c>
      <c r="J287" s="5"/>
    </row>
    <row r="288" s="1" customFormat="1" spans="1:10">
      <c r="A288" s="5">
        <v>285</v>
      </c>
      <c r="B288" s="5" t="s">
        <v>32</v>
      </c>
      <c r="C288" s="5" t="s">
        <v>33</v>
      </c>
      <c r="D288" s="5" t="str">
        <f t="shared" si="11"/>
        <v>20220210001</v>
      </c>
      <c r="E288" s="5">
        <v>1</v>
      </c>
      <c r="F288" s="5" t="s">
        <v>14</v>
      </c>
      <c r="G288" s="5" t="str">
        <f>"张伶俐"</f>
        <v>张伶俐</v>
      </c>
      <c r="H288" s="5" t="str">
        <f>"112000411"</f>
        <v>112000411</v>
      </c>
      <c r="I288" s="5">
        <v>100.08</v>
      </c>
      <c r="J288" s="5"/>
    </row>
    <row r="289" s="1" customFormat="1" spans="1:10">
      <c r="A289" s="5">
        <v>286</v>
      </c>
      <c r="B289" s="5" t="s">
        <v>32</v>
      </c>
      <c r="C289" s="5" t="s">
        <v>33</v>
      </c>
      <c r="D289" s="5" t="str">
        <f t="shared" si="11"/>
        <v>20220210001</v>
      </c>
      <c r="E289" s="5">
        <v>1</v>
      </c>
      <c r="F289" s="5" t="s">
        <v>14</v>
      </c>
      <c r="G289" s="5" t="str">
        <f>"张云飞"</f>
        <v>张云飞</v>
      </c>
      <c r="H289" s="5" t="str">
        <f>"112000511"</f>
        <v>112000511</v>
      </c>
      <c r="I289" s="5">
        <v>99.56</v>
      </c>
      <c r="J289" s="5"/>
    </row>
    <row r="290" s="1" customFormat="1" spans="1:10">
      <c r="A290" s="5">
        <v>287</v>
      </c>
      <c r="B290" s="5" t="s">
        <v>32</v>
      </c>
      <c r="C290" s="5" t="s">
        <v>33</v>
      </c>
      <c r="D290" s="5" t="str">
        <f t="shared" si="11"/>
        <v>20220210001</v>
      </c>
      <c r="E290" s="5">
        <v>1</v>
      </c>
      <c r="F290" s="5" t="s">
        <v>14</v>
      </c>
      <c r="G290" s="5" t="str">
        <f>"卢虎城"</f>
        <v>卢虎城</v>
      </c>
      <c r="H290" s="5" t="str">
        <f>"112001113"</f>
        <v>112001113</v>
      </c>
      <c r="I290" s="5">
        <v>99.4</v>
      </c>
      <c r="J290" s="5"/>
    </row>
    <row r="291" s="1" customFormat="1" spans="1:10">
      <c r="A291" s="5">
        <v>288</v>
      </c>
      <c r="B291" s="5" t="s">
        <v>32</v>
      </c>
      <c r="C291" s="5" t="s">
        <v>33</v>
      </c>
      <c r="D291" s="5" t="str">
        <f t="shared" si="11"/>
        <v>20220210001</v>
      </c>
      <c r="E291" s="5">
        <v>1</v>
      </c>
      <c r="F291" s="5" t="s">
        <v>14</v>
      </c>
      <c r="G291" s="5" t="str">
        <f>"董家顺"</f>
        <v>董家顺</v>
      </c>
      <c r="H291" s="5" t="str">
        <f>"112000309"</f>
        <v>112000309</v>
      </c>
      <c r="I291" s="5">
        <v>97.56</v>
      </c>
      <c r="J291" s="5"/>
    </row>
    <row r="292" s="1" customFormat="1" spans="1:10">
      <c r="A292" s="5">
        <v>289</v>
      </c>
      <c r="B292" s="5" t="s">
        <v>32</v>
      </c>
      <c r="C292" s="5" t="s">
        <v>33</v>
      </c>
      <c r="D292" s="5" t="str">
        <f t="shared" si="11"/>
        <v>20220210001</v>
      </c>
      <c r="E292" s="5">
        <v>1</v>
      </c>
      <c r="F292" s="5" t="s">
        <v>14</v>
      </c>
      <c r="G292" s="5" t="str">
        <f>"付长行"</f>
        <v>付长行</v>
      </c>
      <c r="H292" s="5" t="str">
        <f>"112001221"</f>
        <v>112001221</v>
      </c>
      <c r="I292" s="5">
        <v>97.2</v>
      </c>
      <c r="J292" s="5"/>
    </row>
    <row r="293" s="1" customFormat="1" spans="1:10">
      <c r="A293" s="5">
        <v>290</v>
      </c>
      <c r="B293" s="5" t="s">
        <v>32</v>
      </c>
      <c r="C293" s="5" t="s">
        <v>33</v>
      </c>
      <c r="D293" s="5" t="str">
        <f t="shared" si="11"/>
        <v>20220210001</v>
      </c>
      <c r="E293" s="5">
        <v>1</v>
      </c>
      <c r="F293" s="5" t="s">
        <v>14</v>
      </c>
      <c r="G293" s="5" t="str">
        <f>"万柳杨"</f>
        <v>万柳杨</v>
      </c>
      <c r="H293" s="5" t="str">
        <f>"112000304"</f>
        <v>112000304</v>
      </c>
      <c r="I293" s="5">
        <v>96.76</v>
      </c>
      <c r="J293" s="5"/>
    </row>
    <row r="294" s="1" customFormat="1" spans="1:10">
      <c r="A294" s="5">
        <v>291</v>
      </c>
      <c r="B294" s="5" t="s">
        <v>32</v>
      </c>
      <c r="C294" s="5" t="s">
        <v>33</v>
      </c>
      <c r="D294" s="5" t="str">
        <f t="shared" si="11"/>
        <v>20220210001</v>
      </c>
      <c r="E294" s="5">
        <v>1</v>
      </c>
      <c r="F294" s="5" t="s">
        <v>14</v>
      </c>
      <c r="G294" s="5" t="str">
        <f>"宋莹"</f>
        <v>宋莹</v>
      </c>
      <c r="H294" s="5" t="str">
        <f>"112000623"</f>
        <v>112000623</v>
      </c>
      <c r="I294" s="5">
        <v>95.72</v>
      </c>
      <c r="J294" s="5"/>
    </row>
    <row r="295" s="1" customFormat="1" spans="1:10">
      <c r="A295" s="5">
        <v>292</v>
      </c>
      <c r="B295" s="5" t="s">
        <v>32</v>
      </c>
      <c r="C295" s="5" t="s">
        <v>33</v>
      </c>
      <c r="D295" s="5" t="str">
        <f t="shared" si="11"/>
        <v>20220210001</v>
      </c>
      <c r="E295" s="5">
        <v>1</v>
      </c>
      <c r="F295" s="5" t="s">
        <v>14</v>
      </c>
      <c r="G295" s="5" t="str">
        <f>"钱少蕴"</f>
        <v>钱少蕴</v>
      </c>
      <c r="H295" s="5" t="str">
        <f>"112001604"</f>
        <v>112001604</v>
      </c>
      <c r="I295" s="5">
        <v>95.36</v>
      </c>
      <c r="J295" s="5"/>
    </row>
    <row r="296" s="1" customFormat="1" spans="1:10">
      <c r="A296" s="5">
        <v>293</v>
      </c>
      <c r="B296" s="5" t="s">
        <v>32</v>
      </c>
      <c r="C296" s="5" t="s">
        <v>33</v>
      </c>
      <c r="D296" s="5" t="str">
        <f t="shared" si="11"/>
        <v>20220210001</v>
      </c>
      <c r="E296" s="5">
        <v>1</v>
      </c>
      <c r="F296" s="5" t="s">
        <v>14</v>
      </c>
      <c r="G296" s="5" t="str">
        <f>"马君郡"</f>
        <v>马君郡</v>
      </c>
      <c r="H296" s="5" t="str">
        <f>"112000605"</f>
        <v>112000605</v>
      </c>
      <c r="I296" s="5">
        <v>95.2</v>
      </c>
      <c r="J296" s="5"/>
    </row>
    <row r="297" s="1" customFormat="1" spans="1:10">
      <c r="A297" s="5">
        <v>294</v>
      </c>
      <c r="B297" s="5" t="s">
        <v>32</v>
      </c>
      <c r="C297" s="5" t="s">
        <v>33</v>
      </c>
      <c r="D297" s="5" t="str">
        <f t="shared" si="11"/>
        <v>20220210001</v>
      </c>
      <c r="E297" s="5">
        <v>1</v>
      </c>
      <c r="F297" s="5" t="s">
        <v>14</v>
      </c>
      <c r="G297" s="5" t="str">
        <f>"袁小华"</f>
        <v>袁小华</v>
      </c>
      <c r="H297" s="5" t="str">
        <f>"112001801"</f>
        <v>112001801</v>
      </c>
      <c r="I297" s="5">
        <v>94.88</v>
      </c>
      <c r="J297" s="5"/>
    </row>
    <row r="298" s="1" customFormat="1" spans="1:10">
      <c r="A298" s="5">
        <v>295</v>
      </c>
      <c r="B298" s="5" t="s">
        <v>32</v>
      </c>
      <c r="C298" s="5" t="s">
        <v>33</v>
      </c>
      <c r="D298" s="5" t="str">
        <f t="shared" si="11"/>
        <v>20220210001</v>
      </c>
      <c r="E298" s="5">
        <v>1</v>
      </c>
      <c r="F298" s="5" t="s">
        <v>14</v>
      </c>
      <c r="G298" s="5" t="str">
        <f>"马力"</f>
        <v>马力</v>
      </c>
      <c r="H298" s="5" t="str">
        <f>"112000612"</f>
        <v>112000612</v>
      </c>
      <c r="I298" s="5">
        <v>92.4</v>
      </c>
      <c r="J298" s="5"/>
    </row>
    <row r="299" s="1" customFormat="1" spans="1:10">
      <c r="A299" s="5">
        <v>296</v>
      </c>
      <c r="B299" s="5" t="s">
        <v>32</v>
      </c>
      <c r="C299" s="5" t="s">
        <v>33</v>
      </c>
      <c r="D299" s="5" t="str">
        <f t="shared" si="11"/>
        <v>20220210001</v>
      </c>
      <c r="E299" s="5">
        <v>1</v>
      </c>
      <c r="F299" s="5" t="s">
        <v>14</v>
      </c>
      <c r="G299" s="5" t="str">
        <f>"张卫"</f>
        <v>张卫</v>
      </c>
      <c r="H299" s="5" t="str">
        <f>"112000804"</f>
        <v>112000804</v>
      </c>
      <c r="I299" s="5">
        <v>88.6</v>
      </c>
      <c r="J299" s="5"/>
    </row>
    <row r="300" s="1" customFormat="1" spans="1:10">
      <c r="A300" s="5">
        <v>297</v>
      </c>
      <c r="B300" s="5" t="s">
        <v>32</v>
      </c>
      <c r="C300" s="5" t="s">
        <v>33</v>
      </c>
      <c r="D300" s="5" t="str">
        <f t="shared" si="11"/>
        <v>20220210001</v>
      </c>
      <c r="E300" s="5">
        <v>1</v>
      </c>
      <c r="F300" s="5" t="s">
        <v>14</v>
      </c>
      <c r="G300" s="5" t="str">
        <f>"产大伟"</f>
        <v>产大伟</v>
      </c>
      <c r="H300" s="5" t="str">
        <f>"112000714"</f>
        <v>112000714</v>
      </c>
      <c r="I300" s="5">
        <v>87.68</v>
      </c>
      <c r="J300" s="5"/>
    </row>
    <row r="301" s="1" customFormat="1" spans="1:10">
      <c r="A301" s="5">
        <v>298</v>
      </c>
      <c r="B301" s="5" t="s">
        <v>32</v>
      </c>
      <c r="C301" s="5" t="s">
        <v>33</v>
      </c>
      <c r="D301" s="5" t="str">
        <f t="shared" si="11"/>
        <v>20220210001</v>
      </c>
      <c r="E301" s="5">
        <v>1</v>
      </c>
      <c r="F301" s="5" t="s">
        <v>14</v>
      </c>
      <c r="G301" s="5" t="str">
        <f>"王朗"</f>
        <v>王朗</v>
      </c>
      <c r="H301" s="5" t="str">
        <f>"112000723"</f>
        <v>112000723</v>
      </c>
      <c r="I301" s="5">
        <v>87.48</v>
      </c>
      <c r="J301" s="5"/>
    </row>
    <row r="302" s="1" customFormat="1" spans="1:10">
      <c r="A302" s="5">
        <v>299</v>
      </c>
      <c r="B302" s="5" t="s">
        <v>32</v>
      </c>
      <c r="C302" s="5" t="s">
        <v>33</v>
      </c>
      <c r="D302" s="5" t="str">
        <f t="shared" si="11"/>
        <v>20220210001</v>
      </c>
      <c r="E302" s="5">
        <v>1</v>
      </c>
      <c r="F302" s="5" t="s">
        <v>14</v>
      </c>
      <c r="G302" s="5" t="str">
        <f>"马俊"</f>
        <v>马俊</v>
      </c>
      <c r="H302" s="5" t="str">
        <f>"112000607"</f>
        <v>112000607</v>
      </c>
      <c r="I302" s="5">
        <v>87</v>
      </c>
      <c r="J302" s="5"/>
    </row>
    <row r="303" s="1" customFormat="1" spans="1:10">
      <c r="A303" s="5">
        <v>300</v>
      </c>
      <c r="B303" s="5" t="s">
        <v>32</v>
      </c>
      <c r="C303" s="5" t="s">
        <v>33</v>
      </c>
      <c r="D303" s="5" t="str">
        <f t="shared" si="11"/>
        <v>20220210001</v>
      </c>
      <c r="E303" s="5">
        <v>1</v>
      </c>
      <c r="F303" s="5" t="s">
        <v>14</v>
      </c>
      <c r="G303" s="5" t="str">
        <f>"王源"</f>
        <v>王源</v>
      </c>
      <c r="H303" s="5" t="str">
        <f>"112001403"</f>
        <v>112001403</v>
      </c>
      <c r="I303" s="5">
        <v>85.68</v>
      </c>
      <c r="J303" s="5"/>
    </row>
    <row r="304" s="1" customFormat="1" spans="1:10">
      <c r="A304" s="5">
        <v>301</v>
      </c>
      <c r="B304" s="5" t="s">
        <v>32</v>
      </c>
      <c r="C304" s="5" t="s">
        <v>33</v>
      </c>
      <c r="D304" s="5" t="str">
        <f t="shared" si="11"/>
        <v>20220210001</v>
      </c>
      <c r="E304" s="5">
        <v>1</v>
      </c>
      <c r="F304" s="5" t="s">
        <v>14</v>
      </c>
      <c r="G304" s="5" t="str">
        <f>"肖薇"</f>
        <v>肖薇</v>
      </c>
      <c r="H304" s="5" t="str">
        <f>"112000315"</f>
        <v>112000315</v>
      </c>
      <c r="I304" s="5">
        <v>82.2</v>
      </c>
      <c r="J304" s="5"/>
    </row>
    <row r="305" s="1" customFormat="1" spans="1:10">
      <c r="A305" s="5">
        <v>302</v>
      </c>
      <c r="B305" s="5" t="s">
        <v>32</v>
      </c>
      <c r="C305" s="5" t="s">
        <v>33</v>
      </c>
      <c r="D305" s="5" t="str">
        <f t="shared" si="11"/>
        <v>20220210001</v>
      </c>
      <c r="E305" s="5">
        <v>1</v>
      </c>
      <c r="F305" s="5" t="s">
        <v>14</v>
      </c>
      <c r="G305" s="5" t="str">
        <f>"王倩倩"</f>
        <v>王倩倩</v>
      </c>
      <c r="H305" s="5" t="str">
        <f>"112000507"</f>
        <v>112000507</v>
      </c>
      <c r="I305" s="5">
        <v>80.2</v>
      </c>
      <c r="J305" s="5"/>
    </row>
    <row r="306" s="1" customFormat="1" spans="1:10">
      <c r="A306" s="5">
        <v>303</v>
      </c>
      <c r="B306" s="5" t="s">
        <v>32</v>
      </c>
      <c r="C306" s="5" t="s">
        <v>33</v>
      </c>
      <c r="D306" s="5" t="str">
        <f t="shared" si="11"/>
        <v>20220210001</v>
      </c>
      <c r="E306" s="5">
        <v>1</v>
      </c>
      <c r="F306" s="5" t="s">
        <v>14</v>
      </c>
      <c r="G306" s="5" t="str">
        <f>"秦宏飞"</f>
        <v>秦宏飞</v>
      </c>
      <c r="H306" s="5" t="str">
        <f>"112001014"</f>
        <v>112001014</v>
      </c>
      <c r="I306" s="5">
        <v>79.16</v>
      </c>
      <c r="J306" s="5"/>
    </row>
    <row r="307" s="1" customFormat="1" spans="1:10">
      <c r="A307" s="5">
        <v>304</v>
      </c>
      <c r="B307" s="5" t="s">
        <v>32</v>
      </c>
      <c r="C307" s="5" t="s">
        <v>33</v>
      </c>
      <c r="D307" s="5" t="str">
        <f t="shared" si="11"/>
        <v>20220210001</v>
      </c>
      <c r="E307" s="5">
        <v>1</v>
      </c>
      <c r="F307" s="5" t="s">
        <v>14</v>
      </c>
      <c r="G307" s="5" t="str">
        <f>"孙发军"</f>
        <v>孙发军</v>
      </c>
      <c r="H307" s="5" t="str">
        <f>"112001210"</f>
        <v>112001210</v>
      </c>
      <c r="I307" s="5">
        <v>72.32</v>
      </c>
      <c r="J307" s="5"/>
    </row>
    <row r="308" s="1" customFormat="1" spans="1:10">
      <c r="A308" s="5">
        <v>305</v>
      </c>
      <c r="B308" s="5" t="s">
        <v>32</v>
      </c>
      <c r="C308" s="5" t="s">
        <v>33</v>
      </c>
      <c r="D308" s="5" t="str">
        <f t="shared" si="11"/>
        <v>20220210001</v>
      </c>
      <c r="E308" s="5">
        <v>1</v>
      </c>
      <c r="F308" s="5" t="s">
        <v>14</v>
      </c>
      <c r="G308" s="5" t="str">
        <f>"裴野"</f>
        <v>裴野</v>
      </c>
      <c r="H308" s="5" t="str">
        <f>"112000425"</f>
        <v>112000425</v>
      </c>
      <c r="I308" s="5">
        <v>70.16</v>
      </c>
      <c r="J308" s="5"/>
    </row>
    <row r="309" s="1" customFormat="1" spans="1:10">
      <c r="A309" s="5">
        <v>306</v>
      </c>
      <c r="B309" s="5" t="s">
        <v>32</v>
      </c>
      <c r="C309" s="5" t="s">
        <v>33</v>
      </c>
      <c r="D309" s="5" t="str">
        <f t="shared" si="11"/>
        <v>20220210001</v>
      </c>
      <c r="E309" s="5">
        <v>1</v>
      </c>
      <c r="F309" s="5" t="s">
        <v>14</v>
      </c>
      <c r="G309" s="5" t="str">
        <f>"谭威"</f>
        <v>谭威</v>
      </c>
      <c r="H309" s="5" t="str">
        <f>"112001024"</f>
        <v>112001024</v>
      </c>
      <c r="I309" s="5">
        <v>69.36</v>
      </c>
      <c r="J309" s="5"/>
    </row>
    <row r="310" s="1" customFormat="1" spans="1:10">
      <c r="A310" s="5">
        <v>307</v>
      </c>
      <c r="B310" s="5" t="s">
        <v>32</v>
      </c>
      <c r="C310" s="5" t="s">
        <v>33</v>
      </c>
      <c r="D310" s="5" t="str">
        <f t="shared" si="11"/>
        <v>20220210001</v>
      </c>
      <c r="E310" s="5">
        <v>1</v>
      </c>
      <c r="F310" s="5" t="s">
        <v>14</v>
      </c>
      <c r="G310" s="5" t="str">
        <f>"江源"</f>
        <v>江源</v>
      </c>
      <c r="H310" s="5" t="str">
        <f>"112000727"</f>
        <v>112000727</v>
      </c>
      <c r="I310" s="5">
        <v>66.56</v>
      </c>
      <c r="J310" s="5"/>
    </row>
    <row r="311" s="1" customFormat="1" spans="1:10">
      <c r="A311" s="5">
        <v>308</v>
      </c>
      <c r="B311" s="5" t="s">
        <v>32</v>
      </c>
      <c r="C311" s="5" t="s">
        <v>33</v>
      </c>
      <c r="D311" s="5" t="str">
        <f t="shared" si="11"/>
        <v>20220210001</v>
      </c>
      <c r="E311" s="5">
        <v>1</v>
      </c>
      <c r="F311" s="5" t="s">
        <v>14</v>
      </c>
      <c r="G311" s="5" t="str">
        <f>"龚朝"</f>
        <v>龚朝</v>
      </c>
      <c r="H311" s="5" t="str">
        <f>"112000201"</f>
        <v>112000201</v>
      </c>
      <c r="I311" s="5">
        <v>0</v>
      </c>
      <c r="J311" s="5" t="s">
        <v>15</v>
      </c>
    </row>
    <row r="312" s="1" customFormat="1" spans="1:10">
      <c r="A312" s="5">
        <v>309</v>
      </c>
      <c r="B312" s="5" t="s">
        <v>32</v>
      </c>
      <c r="C312" s="5" t="s">
        <v>33</v>
      </c>
      <c r="D312" s="5" t="str">
        <f t="shared" si="11"/>
        <v>20220210001</v>
      </c>
      <c r="E312" s="5">
        <v>1</v>
      </c>
      <c r="F312" s="5" t="s">
        <v>14</v>
      </c>
      <c r="G312" s="5" t="str">
        <f>"胡易"</f>
        <v>胡易</v>
      </c>
      <c r="H312" s="5" t="str">
        <f>"112000325"</f>
        <v>112000325</v>
      </c>
      <c r="I312" s="5">
        <v>0</v>
      </c>
      <c r="J312" s="5" t="s">
        <v>15</v>
      </c>
    </row>
    <row r="313" s="1" customFormat="1" spans="1:10">
      <c r="A313" s="5">
        <v>310</v>
      </c>
      <c r="B313" s="5" t="s">
        <v>32</v>
      </c>
      <c r="C313" s="5" t="s">
        <v>33</v>
      </c>
      <c r="D313" s="5" t="str">
        <f t="shared" si="11"/>
        <v>20220210001</v>
      </c>
      <c r="E313" s="5">
        <v>1</v>
      </c>
      <c r="F313" s="5" t="s">
        <v>14</v>
      </c>
      <c r="G313" s="5" t="str">
        <f>"刘亚琴"</f>
        <v>刘亚琴</v>
      </c>
      <c r="H313" s="5" t="str">
        <f>"112000327"</f>
        <v>112000327</v>
      </c>
      <c r="I313" s="5">
        <v>0</v>
      </c>
      <c r="J313" s="5" t="s">
        <v>15</v>
      </c>
    </row>
    <row r="314" s="1" customFormat="1" spans="1:10">
      <c r="A314" s="5">
        <v>311</v>
      </c>
      <c r="B314" s="5" t="s">
        <v>32</v>
      </c>
      <c r="C314" s="5" t="s">
        <v>33</v>
      </c>
      <c r="D314" s="5" t="str">
        <f t="shared" si="11"/>
        <v>20220210001</v>
      </c>
      <c r="E314" s="5">
        <v>1</v>
      </c>
      <c r="F314" s="5" t="s">
        <v>14</v>
      </c>
      <c r="G314" s="5" t="str">
        <f>"许天阳"</f>
        <v>许天阳</v>
      </c>
      <c r="H314" s="5" t="str">
        <f>"112000817"</f>
        <v>112000817</v>
      </c>
      <c r="I314" s="5">
        <v>0</v>
      </c>
      <c r="J314" s="5" t="s">
        <v>15</v>
      </c>
    </row>
    <row r="315" s="1" customFormat="1" spans="1:10">
      <c r="A315" s="5">
        <v>312</v>
      </c>
      <c r="B315" s="5" t="s">
        <v>32</v>
      </c>
      <c r="C315" s="5" t="s">
        <v>33</v>
      </c>
      <c r="D315" s="5" t="str">
        <f t="shared" si="11"/>
        <v>20220210001</v>
      </c>
      <c r="E315" s="5">
        <v>1</v>
      </c>
      <c r="F315" s="5" t="s">
        <v>14</v>
      </c>
      <c r="G315" s="5" t="str">
        <f>"王腾云"</f>
        <v>王腾云</v>
      </c>
      <c r="H315" s="5" t="str">
        <f>"112000906"</f>
        <v>112000906</v>
      </c>
      <c r="I315" s="5">
        <v>0</v>
      </c>
      <c r="J315" s="5" t="s">
        <v>15</v>
      </c>
    </row>
    <row r="316" s="1" customFormat="1" spans="1:10">
      <c r="A316" s="5">
        <v>313</v>
      </c>
      <c r="B316" s="5" t="s">
        <v>32</v>
      </c>
      <c r="C316" s="5" t="s">
        <v>33</v>
      </c>
      <c r="D316" s="5" t="str">
        <f t="shared" si="11"/>
        <v>20220210001</v>
      </c>
      <c r="E316" s="5">
        <v>1</v>
      </c>
      <c r="F316" s="5" t="s">
        <v>14</v>
      </c>
      <c r="G316" s="5" t="str">
        <f>"汪林锦"</f>
        <v>汪林锦</v>
      </c>
      <c r="H316" s="5" t="str">
        <f>"112000914"</f>
        <v>112000914</v>
      </c>
      <c r="I316" s="5">
        <v>0</v>
      </c>
      <c r="J316" s="5" t="s">
        <v>15</v>
      </c>
    </row>
    <row r="317" s="1" customFormat="1" spans="1:10">
      <c r="A317" s="5">
        <v>314</v>
      </c>
      <c r="B317" s="5" t="s">
        <v>32</v>
      </c>
      <c r="C317" s="5" t="s">
        <v>33</v>
      </c>
      <c r="D317" s="5" t="str">
        <f t="shared" si="11"/>
        <v>20220210001</v>
      </c>
      <c r="E317" s="5">
        <v>1</v>
      </c>
      <c r="F317" s="5" t="s">
        <v>14</v>
      </c>
      <c r="G317" s="5" t="str">
        <f>"张亚旗"</f>
        <v>张亚旗</v>
      </c>
      <c r="H317" s="5" t="str">
        <f>"112001008"</f>
        <v>112001008</v>
      </c>
      <c r="I317" s="5">
        <v>0</v>
      </c>
      <c r="J317" s="5" t="s">
        <v>15</v>
      </c>
    </row>
    <row r="318" s="1" customFormat="1" spans="1:10">
      <c r="A318" s="5">
        <v>315</v>
      </c>
      <c r="B318" s="5" t="s">
        <v>32</v>
      </c>
      <c r="C318" s="5" t="s">
        <v>33</v>
      </c>
      <c r="D318" s="5" t="str">
        <f t="shared" si="11"/>
        <v>20220210001</v>
      </c>
      <c r="E318" s="5">
        <v>1</v>
      </c>
      <c r="F318" s="5" t="s">
        <v>14</v>
      </c>
      <c r="G318" s="5" t="str">
        <f>"高磊"</f>
        <v>高磊</v>
      </c>
      <c r="H318" s="5" t="str">
        <f>"112001105"</f>
        <v>112001105</v>
      </c>
      <c r="I318" s="5">
        <v>0</v>
      </c>
      <c r="J318" s="5" t="s">
        <v>15</v>
      </c>
    </row>
    <row r="319" s="1" customFormat="1" spans="1:10">
      <c r="A319" s="5">
        <v>316</v>
      </c>
      <c r="B319" s="5" t="s">
        <v>32</v>
      </c>
      <c r="C319" s="5" t="s">
        <v>33</v>
      </c>
      <c r="D319" s="5" t="str">
        <f t="shared" si="11"/>
        <v>20220210001</v>
      </c>
      <c r="E319" s="5">
        <v>1</v>
      </c>
      <c r="F319" s="5" t="s">
        <v>14</v>
      </c>
      <c r="G319" s="5" t="str">
        <f>"董孟玲"</f>
        <v>董孟玲</v>
      </c>
      <c r="H319" s="5" t="str">
        <f>"112001216"</f>
        <v>112001216</v>
      </c>
      <c r="I319" s="5">
        <v>0</v>
      </c>
      <c r="J319" s="5" t="s">
        <v>15</v>
      </c>
    </row>
    <row r="320" s="1" customFormat="1" spans="1:10">
      <c r="A320" s="5">
        <v>317</v>
      </c>
      <c r="B320" s="5" t="s">
        <v>32</v>
      </c>
      <c r="C320" s="5" t="s">
        <v>33</v>
      </c>
      <c r="D320" s="5" t="str">
        <f t="shared" si="11"/>
        <v>20220210001</v>
      </c>
      <c r="E320" s="5">
        <v>1</v>
      </c>
      <c r="F320" s="5" t="s">
        <v>14</v>
      </c>
      <c r="G320" s="5" t="str">
        <f>"朱能天"</f>
        <v>朱能天</v>
      </c>
      <c r="H320" s="5" t="str">
        <f>"112001302"</f>
        <v>112001302</v>
      </c>
      <c r="I320" s="5">
        <v>0</v>
      </c>
      <c r="J320" s="5" t="s">
        <v>15</v>
      </c>
    </row>
    <row r="321" s="1" customFormat="1" spans="1:10">
      <c r="A321" s="5">
        <v>318</v>
      </c>
      <c r="B321" s="5" t="s">
        <v>32</v>
      </c>
      <c r="C321" s="5" t="s">
        <v>33</v>
      </c>
      <c r="D321" s="5" t="str">
        <f t="shared" si="11"/>
        <v>20220210001</v>
      </c>
      <c r="E321" s="5">
        <v>1</v>
      </c>
      <c r="F321" s="5" t="s">
        <v>14</v>
      </c>
      <c r="G321" s="5" t="str">
        <f>"魏琳"</f>
        <v>魏琳</v>
      </c>
      <c r="H321" s="5" t="str">
        <f>"112001305"</f>
        <v>112001305</v>
      </c>
      <c r="I321" s="5">
        <v>0</v>
      </c>
      <c r="J321" s="5" t="s">
        <v>15</v>
      </c>
    </row>
    <row r="322" s="1" customFormat="1" spans="1:10">
      <c r="A322" s="5">
        <v>319</v>
      </c>
      <c r="B322" s="5" t="s">
        <v>32</v>
      </c>
      <c r="C322" s="5" t="s">
        <v>33</v>
      </c>
      <c r="D322" s="5" t="str">
        <f t="shared" si="11"/>
        <v>20220210001</v>
      </c>
      <c r="E322" s="5">
        <v>1</v>
      </c>
      <c r="F322" s="5" t="s">
        <v>14</v>
      </c>
      <c r="G322" s="5" t="str">
        <f>"沈显泽"</f>
        <v>沈显泽</v>
      </c>
      <c r="H322" s="5" t="str">
        <f>"112001306"</f>
        <v>112001306</v>
      </c>
      <c r="I322" s="5">
        <v>0</v>
      </c>
      <c r="J322" s="5" t="s">
        <v>15</v>
      </c>
    </row>
    <row r="323" s="1" customFormat="1" spans="1:10">
      <c r="A323" s="5">
        <v>320</v>
      </c>
      <c r="B323" s="5" t="s">
        <v>32</v>
      </c>
      <c r="C323" s="5" t="s">
        <v>33</v>
      </c>
      <c r="D323" s="5" t="str">
        <f t="shared" si="11"/>
        <v>20220210001</v>
      </c>
      <c r="E323" s="5">
        <v>1</v>
      </c>
      <c r="F323" s="5" t="s">
        <v>14</v>
      </c>
      <c r="G323" s="5" t="str">
        <f>"宋磊"</f>
        <v>宋磊</v>
      </c>
      <c r="H323" s="5" t="str">
        <f>"112001324"</f>
        <v>112001324</v>
      </c>
      <c r="I323" s="5">
        <v>0</v>
      </c>
      <c r="J323" s="5" t="s">
        <v>15</v>
      </c>
    </row>
    <row r="324" s="1" customFormat="1" spans="1:10">
      <c r="A324" s="5">
        <v>321</v>
      </c>
      <c r="B324" s="5" t="s">
        <v>32</v>
      </c>
      <c r="C324" s="5" t="s">
        <v>33</v>
      </c>
      <c r="D324" s="5" t="str">
        <f t="shared" si="11"/>
        <v>20220210001</v>
      </c>
      <c r="E324" s="5">
        <v>1</v>
      </c>
      <c r="F324" s="5" t="s">
        <v>14</v>
      </c>
      <c r="G324" s="5" t="str">
        <f>"曹探深"</f>
        <v>曹探深</v>
      </c>
      <c r="H324" s="5" t="str">
        <f>"112001326"</f>
        <v>112001326</v>
      </c>
      <c r="I324" s="5">
        <v>0</v>
      </c>
      <c r="J324" s="5" t="s">
        <v>15</v>
      </c>
    </row>
    <row r="325" s="1" customFormat="1" spans="1:10">
      <c r="A325" s="5">
        <v>322</v>
      </c>
      <c r="B325" s="5" t="s">
        <v>32</v>
      </c>
      <c r="C325" s="5" t="s">
        <v>33</v>
      </c>
      <c r="D325" s="5" t="str">
        <f t="shared" si="11"/>
        <v>20220210001</v>
      </c>
      <c r="E325" s="5">
        <v>1</v>
      </c>
      <c r="F325" s="5" t="s">
        <v>14</v>
      </c>
      <c r="G325" s="5" t="str">
        <f>"刁刘丽"</f>
        <v>刁刘丽</v>
      </c>
      <c r="H325" s="5" t="str">
        <f>"112001402"</f>
        <v>112001402</v>
      </c>
      <c r="I325" s="5">
        <v>0</v>
      </c>
      <c r="J325" s="5" t="s">
        <v>15</v>
      </c>
    </row>
    <row r="326" s="1" customFormat="1" spans="1:10">
      <c r="A326" s="5">
        <v>323</v>
      </c>
      <c r="B326" s="5" t="s">
        <v>32</v>
      </c>
      <c r="C326" s="5" t="s">
        <v>33</v>
      </c>
      <c r="D326" s="5" t="str">
        <f t="shared" si="11"/>
        <v>20220210001</v>
      </c>
      <c r="E326" s="5">
        <v>1</v>
      </c>
      <c r="F326" s="5" t="s">
        <v>14</v>
      </c>
      <c r="G326" s="5" t="str">
        <f>"魏宏宇"</f>
        <v>魏宏宇</v>
      </c>
      <c r="H326" s="5" t="str">
        <f>"112001417"</f>
        <v>112001417</v>
      </c>
      <c r="I326" s="5">
        <v>0</v>
      </c>
      <c r="J326" s="5" t="s">
        <v>15</v>
      </c>
    </row>
    <row r="327" s="1" customFormat="1" spans="1:10">
      <c r="A327" s="5">
        <v>324</v>
      </c>
      <c r="B327" s="5" t="s">
        <v>32</v>
      </c>
      <c r="C327" s="5" t="s">
        <v>33</v>
      </c>
      <c r="D327" s="5" t="str">
        <f t="shared" si="11"/>
        <v>20220210001</v>
      </c>
      <c r="E327" s="5">
        <v>1</v>
      </c>
      <c r="F327" s="5" t="s">
        <v>14</v>
      </c>
      <c r="G327" s="5" t="str">
        <f>"钟文权"</f>
        <v>钟文权</v>
      </c>
      <c r="H327" s="5" t="str">
        <f>"112001510"</f>
        <v>112001510</v>
      </c>
      <c r="I327" s="5">
        <v>0</v>
      </c>
      <c r="J327" s="5" t="s">
        <v>15</v>
      </c>
    </row>
    <row r="328" s="1" customFormat="1" spans="1:10">
      <c r="A328" s="5">
        <v>325</v>
      </c>
      <c r="B328" s="5" t="s">
        <v>32</v>
      </c>
      <c r="C328" s="5" t="s">
        <v>33</v>
      </c>
      <c r="D328" s="5" t="str">
        <f t="shared" si="11"/>
        <v>20220210001</v>
      </c>
      <c r="E328" s="5">
        <v>1</v>
      </c>
      <c r="F328" s="5" t="s">
        <v>14</v>
      </c>
      <c r="G328" s="5" t="str">
        <f>"包焱坤"</f>
        <v>包焱坤</v>
      </c>
      <c r="H328" s="5" t="str">
        <f>"112001515"</f>
        <v>112001515</v>
      </c>
      <c r="I328" s="5">
        <v>0</v>
      </c>
      <c r="J328" s="5" t="s">
        <v>15</v>
      </c>
    </row>
    <row r="329" s="1" customFormat="1" spans="1:10">
      <c r="A329" s="5">
        <v>326</v>
      </c>
      <c r="B329" s="5" t="s">
        <v>32</v>
      </c>
      <c r="C329" s="5" t="s">
        <v>33</v>
      </c>
      <c r="D329" s="5" t="str">
        <f t="shared" si="11"/>
        <v>20220210001</v>
      </c>
      <c r="E329" s="5">
        <v>1</v>
      </c>
      <c r="F329" s="5" t="s">
        <v>14</v>
      </c>
      <c r="G329" s="5" t="str">
        <f>"王奇"</f>
        <v>王奇</v>
      </c>
      <c r="H329" s="5" t="str">
        <f>"112001607"</f>
        <v>112001607</v>
      </c>
      <c r="I329" s="5">
        <v>0</v>
      </c>
      <c r="J329" s="5" t="s">
        <v>15</v>
      </c>
    </row>
    <row r="330" s="1" customFormat="1" spans="1:10">
      <c r="A330" s="5">
        <v>327</v>
      </c>
      <c r="B330" s="5" t="s">
        <v>32</v>
      </c>
      <c r="C330" s="5" t="s">
        <v>33</v>
      </c>
      <c r="D330" s="5" t="str">
        <f t="shared" si="11"/>
        <v>20220210001</v>
      </c>
      <c r="E330" s="5">
        <v>1</v>
      </c>
      <c r="F330" s="5" t="s">
        <v>14</v>
      </c>
      <c r="G330" s="5" t="str">
        <f>"范志国"</f>
        <v>范志国</v>
      </c>
      <c r="H330" s="5" t="str">
        <f>"112001721"</f>
        <v>112001721</v>
      </c>
      <c r="I330" s="5">
        <v>0</v>
      </c>
      <c r="J330" s="5" t="s">
        <v>15</v>
      </c>
    </row>
    <row r="331" s="1" customFormat="1" spans="1:10">
      <c r="A331" s="5">
        <v>328</v>
      </c>
      <c r="B331" s="5" t="s">
        <v>32</v>
      </c>
      <c r="C331" s="5" t="s">
        <v>33</v>
      </c>
      <c r="D331" s="5" t="str">
        <f t="shared" si="11"/>
        <v>20220210001</v>
      </c>
      <c r="E331" s="5">
        <v>1</v>
      </c>
      <c r="F331" s="5" t="s">
        <v>14</v>
      </c>
      <c r="G331" s="5" t="str">
        <f>"黄园"</f>
        <v>黄园</v>
      </c>
      <c r="H331" s="5" t="str">
        <f>"112001811"</f>
        <v>112001811</v>
      </c>
      <c r="I331" s="5">
        <v>0</v>
      </c>
      <c r="J331" s="5" t="s">
        <v>15</v>
      </c>
    </row>
    <row r="332" s="1" customFormat="1" spans="1:10">
      <c r="A332" s="5">
        <v>329</v>
      </c>
      <c r="B332" s="5" t="s">
        <v>32</v>
      </c>
      <c r="C332" s="5" t="s">
        <v>33</v>
      </c>
      <c r="D332" s="5" t="str">
        <f t="shared" si="11"/>
        <v>20220210001</v>
      </c>
      <c r="E332" s="5">
        <v>1</v>
      </c>
      <c r="F332" s="5" t="s">
        <v>14</v>
      </c>
      <c r="G332" s="5" t="str">
        <f>"马林玲"</f>
        <v>马林玲</v>
      </c>
      <c r="H332" s="5" t="str">
        <f>"112001908"</f>
        <v>112001908</v>
      </c>
      <c r="I332" s="5">
        <v>0</v>
      </c>
      <c r="J332" s="5" t="s">
        <v>15</v>
      </c>
    </row>
    <row r="333" s="1" customFormat="1" spans="1:10">
      <c r="A333" s="5">
        <v>330</v>
      </c>
      <c r="B333" s="5" t="s">
        <v>32</v>
      </c>
      <c r="C333" s="5" t="s">
        <v>33</v>
      </c>
      <c r="D333" s="5" t="str">
        <f t="shared" si="11"/>
        <v>20220210001</v>
      </c>
      <c r="E333" s="5">
        <v>1</v>
      </c>
      <c r="F333" s="5" t="s">
        <v>14</v>
      </c>
      <c r="G333" s="5" t="str">
        <f>"夏康"</f>
        <v>夏康</v>
      </c>
      <c r="H333" s="5" t="str">
        <f>"112001913"</f>
        <v>112001913</v>
      </c>
      <c r="I333" s="5">
        <v>0</v>
      </c>
      <c r="J333" s="5" t="s">
        <v>15</v>
      </c>
    </row>
    <row r="334" s="1" customFormat="1" spans="1:10">
      <c r="A334" s="5">
        <v>331</v>
      </c>
      <c r="B334" s="5" t="s">
        <v>34</v>
      </c>
      <c r="C334" s="5" t="s">
        <v>35</v>
      </c>
      <c r="D334" s="5" t="str">
        <f t="shared" ref="D334:D396" si="12">"20220211001"</f>
        <v>20220211001</v>
      </c>
      <c r="E334" s="5">
        <v>2</v>
      </c>
      <c r="F334" s="5" t="s">
        <v>14</v>
      </c>
      <c r="G334" s="5" t="str">
        <f>"黄登"</f>
        <v>黄登</v>
      </c>
      <c r="H334" s="5" t="str">
        <f>"112000110"</f>
        <v>112000110</v>
      </c>
      <c r="I334" s="5">
        <v>106.36</v>
      </c>
      <c r="J334" s="5"/>
    </row>
    <row r="335" s="1" customFormat="1" spans="1:10">
      <c r="A335" s="5">
        <v>332</v>
      </c>
      <c r="B335" s="5" t="s">
        <v>34</v>
      </c>
      <c r="C335" s="5" t="s">
        <v>35</v>
      </c>
      <c r="D335" s="5" t="str">
        <f t="shared" si="12"/>
        <v>20220211001</v>
      </c>
      <c r="E335" s="5">
        <v>2</v>
      </c>
      <c r="F335" s="5" t="s">
        <v>14</v>
      </c>
      <c r="G335" s="5" t="str">
        <f>"张亦奇"</f>
        <v>张亦奇</v>
      </c>
      <c r="H335" s="5" t="str">
        <f>"112001301"</f>
        <v>112001301</v>
      </c>
      <c r="I335" s="5">
        <v>101.16</v>
      </c>
      <c r="J335" s="5"/>
    </row>
    <row r="336" s="1" customFormat="1" spans="1:10">
      <c r="A336" s="5">
        <v>333</v>
      </c>
      <c r="B336" s="5" t="s">
        <v>34</v>
      </c>
      <c r="C336" s="5" t="s">
        <v>35</v>
      </c>
      <c r="D336" s="5" t="str">
        <f t="shared" si="12"/>
        <v>20220211001</v>
      </c>
      <c r="E336" s="5">
        <v>2</v>
      </c>
      <c r="F336" s="5" t="s">
        <v>14</v>
      </c>
      <c r="G336" s="5" t="str">
        <f>"李琳"</f>
        <v>李琳</v>
      </c>
      <c r="H336" s="5" t="str">
        <f>"112001209"</f>
        <v>112001209</v>
      </c>
      <c r="I336" s="5">
        <v>100</v>
      </c>
      <c r="J336" s="5"/>
    </row>
    <row r="337" s="1" customFormat="1" spans="1:10">
      <c r="A337" s="5">
        <v>334</v>
      </c>
      <c r="B337" s="5" t="s">
        <v>34</v>
      </c>
      <c r="C337" s="5" t="s">
        <v>35</v>
      </c>
      <c r="D337" s="5" t="str">
        <f t="shared" si="12"/>
        <v>20220211001</v>
      </c>
      <c r="E337" s="5">
        <v>2</v>
      </c>
      <c r="F337" s="5" t="s">
        <v>14</v>
      </c>
      <c r="G337" s="5" t="str">
        <f>"庞凡"</f>
        <v>庞凡</v>
      </c>
      <c r="H337" s="5" t="str">
        <f>"112000127"</f>
        <v>112000127</v>
      </c>
      <c r="I337" s="5">
        <v>99.72</v>
      </c>
      <c r="J337" s="5"/>
    </row>
    <row r="338" s="1" customFormat="1" spans="1:10">
      <c r="A338" s="5">
        <v>335</v>
      </c>
      <c r="B338" s="5" t="s">
        <v>34</v>
      </c>
      <c r="C338" s="5" t="s">
        <v>35</v>
      </c>
      <c r="D338" s="5" t="str">
        <f t="shared" si="12"/>
        <v>20220211001</v>
      </c>
      <c r="E338" s="5">
        <v>2</v>
      </c>
      <c r="F338" s="5" t="s">
        <v>14</v>
      </c>
      <c r="G338" s="5" t="str">
        <f>"冯韬"</f>
        <v>冯韬</v>
      </c>
      <c r="H338" s="5" t="str">
        <f>"112000203"</f>
        <v>112000203</v>
      </c>
      <c r="I338" s="5">
        <v>98.56</v>
      </c>
      <c r="J338" s="5"/>
    </row>
    <row r="339" s="1" customFormat="1" spans="1:10">
      <c r="A339" s="5">
        <v>336</v>
      </c>
      <c r="B339" s="5" t="s">
        <v>34</v>
      </c>
      <c r="C339" s="5" t="s">
        <v>35</v>
      </c>
      <c r="D339" s="5" t="str">
        <f t="shared" si="12"/>
        <v>20220211001</v>
      </c>
      <c r="E339" s="5">
        <v>2</v>
      </c>
      <c r="F339" s="5" t="s">
        <v>14</v>
      </c>
      <c r="G339" s="5" t="str">
        <f>"李明"</f>
        <v>李明</v>
      </c>
      <c r="H339" s="5" t="str">
        <f>"112000828"</f>
        <v>112000828</v>
      </c>
      <c r="I339" s="5">
        <v>96.04</v>
      </c>
      <c r="J339" s="5"/>
    </row>
    <row r="340" s="1" customFormat="1" spans="1:10">
      <c r="A340" s="5">
        <v>337</v>
      </c>
      <c r="B340" s="5" t="s">
        <v>34</v>
      </c>
      <c r="C340" s="5" t="s">
        <v>35</v>
      </c>
      <c r="D340" s="5" t="str">
        <f t="shared" si="12"/>
        <v>20220211001</v>
      </c>
      <c r="E340" s="5">
        <v>2</v>
      </c>
      <c r="F340" s="5" t="s">
        <v>14</v>
      </c>
      <c r="G340" s="5" t="str">
        <f>"涂奇奇"</f>
        <v>涂奇奇</v>
      </c>
      <c r="H340" s="5" t="str">
        <f>"112001126"</f>
        <v>112001126</v>
      </c>
      <c r="I340" s="5">
        <v>95.8</v>
      </c>
      <c r="J340" s="5"/>
    </row>
    <row r="341" s="1" customFormat="1" spans="1:10">
      <c r="A341" s="5">
        <v>338</v>
      </c>
      <c r="B341" s="5" t="s">
        <v>34</v>
      </c>
      <c r="C341" s="5" t="s">
        <v>35</v>
      </c>
      <c r="D341" s="5" t="str">
        <f t="shared" si="12"/>
        <v>20220211001</v>
      </c>
      <c r="E341" s="5">
        <v>2</v>
      </c>
      <c r="F341" s="5" t="s">
        <v>14</v>
      </c>
      <c r="G341" s="5" t="str">
        <f>"黄志宝"</f>
        <v>黄志宝</v>
      </c>
      <c r="H341" s="5" t="str">
        <f>"112000119"</f>
        <v>112000119</v>
      </c>
      <c r="I341" s="5">
        <v>94.76</v>
      </c>
      <c r="J341" s="5"/>
    </row>
    <row r="342" s="1" customFormat="1" spans="1:10">
      <c r="A342" s="5">
        <v>339</v>
      </c>
      <c r="B342" s="5" t="s">
        <v>34</v>
      </c>
      <c r="C342" s="5" t="s">
        <v>35</v>
      </c>
      <c r="D342" s="5" t="str">
        <f t="shared" si="12"/>
        <v>20220211001</v>
      </c>
      <c r="E342" s="5">
        <v>2</v>
      </c>
      <c r="F342" s="5" t="s">
        <v>14</v>
      </c>
      <c r="G342" s="5" t="str">
        <f>"胡松"</f>
        <v>胡松</v>
      </c>
      <c r="H342" s="5" t="str">
        <f>"112000311"</f>
        <v>112000311</v>
      </c>
      <c r="I342" s="5">
        <v>94</v>
      </c>
      <c r="J342" s="5"/>
    </row>
    <row r="343" s="1" customFormat="1" spans="1:10">
      <c r="A343" s="5">
        <v>340</v>
      </c>
      <c r="B343" s="5" t="s">
        <v>34</v>
      </c>
      <c r="C343" s="5" t="s">
        <v>35</v>
      </c>
      <c r="D343" s="5" t="str">
        <f t="shared" si="12"/>
        <v>20220211001</v>
      </c>
      <c r="E343" s="5">
        <v>2</v>
      </c>
      <c r="F343" s="5" t="s">
        <v>14</v>
      </c>
      <c r="G343" s="5" t="str">
        <f>"刘梦阳"</f>
        <v>刘梦阳</v>
      </c>
      <c r="H343" s="5" t="str">
        <f>"112000722"</f>
        <v>112000722</v>
      </c>
      <c r="I343" s="5">
        <v>91.28</v>
      </c>
      <c r="J343" s="5"/>
    </row>
    <row r="344" s="1" customFormat="1" spans="1:10">
      <c r="A344" s="5">
        <v>341</v>
      </c>
      <c r="B344" s="5" t="s">
        <v>34</v>
      </c>
      <c r="C344" s="5" t="s">
        <v>35</v>
      </c>
      <c r="D344" s="5" t="str">
        <f t="shared" si="12"/>
        <v>20220211001</v>
      </c>
      <c r="E344" s="5">
        <v>2</v>
      </c>
      <c r="F344" s="5" t="s">
        <v>14</v>
      </c>
      <c r="G344" s="5" t="str">
        <f>"何洪盛"</f>
        <v>何洪盛</v>
      </c>
      <c r="H344" s="5" t="str">
        <f>"112001128"</f>
        <v>112001128</v>
      </c>
      <c r="I344" s="5">
        <v>90.16</v>
      </c>
      <c r="J344" s="5"/>
    </row>
    <row r="345" s="1" customFormat="1" spans="1:10">
      <c r="A345" s="5">
        <v>342</v>
      </c>
      <c r="B345" s="5" t="s">
        <v>34</v>
      </c>
      <c r="C345" s="5" t="s">
        <v>35</v>
      </c>
      <c r="D345" s="5" t="str">
        <f t="shared" si="12"/>
        <v>20220211001</v>
      </c>
      <c r="E345" s="5">
        <v>2</v>
      </c>
      <c r="F345" s="5" t="s">
        <v>14</v>
      </c>
      <c r="G345" s="5" t="str">
        <f>"袁媛"</f>
        <v>袁媛</v>
      </c>
      <c r="H345" s="5" t="str">
        <f>"112001627"</f>
        <v>112001627</v>
      </c>
      <c r="I345" s="5">
        <v>90.08</v>
      </c>
      <c r="J345" s="5"/>
    </row>
    <row r="346" s="1" customFormat="1" spans="1:10">
      <c r="A346" s="5">
        <v>343</v>
      </c>
      <c r="B346" s="5" t="s">
        <v>34</v>
      </c>
      <c r="C346" s="5" t="s">
        <v>35</v>
      </c>
      <c r="D346" s="5" t="str">
        <f t="shared" si="12"/>
        <v>20220211001</v>
      </c>
      <c r="E346" s="5">
        <v>2</v>
      </c>
      <c r="F346" s="5" t="s">
        <v>14</v>
      </c>
      <c r="G346" s="5" t="str">
        <f>"马林"</f>
        <v>马林</v>
      </c>
      <c r="H346" s="5" t="str">
        <f>"112000915"</f>
        <v>112000915</v>
      </c>
      <c r="I346" s="5">
        <v>89.76</v>
      </c>
      <c r="J346" s="5"/>
    </row>
    <row r="347" s="1" customFormat="1" spans="1:10">
      <c r="A347" s="5">
        <v>344</v>
      </c>
      <c r="B347" s="5" t="s">
        <v>34</v>
      </c>
      <c r="C347" s="5" t="s">
        <v>35</v>
      </c>
      <c r="D347" s="5" t="str">
        <f t="shared" si="12"/>
        <v>20220211001</v>
      </c>
      <c r="E347" s="5">
        <v>2</v>
      </c>
      <c r="F347" s="5" t="s">
        <v>14</v>
      </c>
      <c r="G347" s="5" t="str">
        <f>"程慧倩"</f>
        <v>程慧倩</v>
      </c>
      <c r="H347" s="5" t="str">
        <f>"112000526"</f>
        <v>112000526</v>
      </c>
      <c r="I347" s="5">
        <v>88.4</v>
      </c>
      <c r="J347" s="5"/>
    </row>
    <row r="348" s="1" customFormat="1" spans="1:10">
      <c r="A348" s="5">
        <v>345</v>
      </c>
      <c r="B348" s="5" t="s">
        <v>34</v>
      </c>
      <c r="C348" s="5" t="s">
        <v>35</v>
      </c>
      <c r="D348" s="5" t="str">
        <f t="shared" si="12"/>
        <v>20220211001</v>
      </c>
      <c r="E348" s="5">
        <v>2</v>
      </c>
      <c r="F348" s="5" t="s">
        <v>14</v>
      </c>
      <c r="G348" s="5" t="str">
        <f>"毛威涛"</f>
        <v>毛威涛</v>
      </c>
      <c r="H348" s="5" t="str">
        <f>"112000108"</f>
        <v>112000108</v>
      </c>
      <c r="I348" s="5">
        <v>87.76</v>
      </c>
      <c r="J348" s="5"/>
    </row>
    <row r="349" s="1" customFormat="1" spans="1:10">
      <c r="A349" s="5">
        <v>346</v>
      </c>
      <c r="B349" s="5" t="s">
        <v>34</v>
      </c>
      <c r="C349" s="5" t="s">
        <v>35</v>
      </c>
      <c r="D349" s="5" t="str">
        <f t="shared" si="12"/>
        <v>20220211001</v>
      </c>
      <c r="E349" s="5">
        <v>2</v>
      </c>
      <c r="F349" s="5" t="s">
        <v>14</v>
      </c>
      <c r="G349" s="5" t="str">
        <f>"王宇"</f>
        <v>王宇</v>
      </c>
      <c r="H349" s="5" t="str">
        <f>"112000710"</f>
        <v>112000710</v>
      </c>
      <c r="I349" s="5">
        <v>87.04</v>
      </c>
      <c r="J349" s="5"/>
    </row>
    <row r="350" s="1" customFormat="1" spans="1:10">
      <c r="A350" s="5">
        <v>347</v>
      </c>
      <c r="B350" s="5" t="s">
        <v>34</v>
      </c>
      <c r="C350" s="5" t="s">
        <v>35</v>
      </c>
      <c r="D350" s="5" t="str">
        <f t="shared" si="12"/>
        <v>20220211001</v>
      </c>
      <c r="E350" s="5">
        <v>2</v>
      </c>
      <c r="F350" s="5" t="s">
        <v>14</v>
      </c>
      <c r="G350" s="5" t="str">
        <f>"郝文雪"</f>
        <v>郝文雪</v>
      </c>
      <c r="H350" s="5" t="str">
        <f>"112001704"</f>
        <v>112001704</v>
      </c>
      <c r="I350" s="5">
        <v>86.56</v>
      </c>
      <c r="J350" s="5"/>
    </row>
    <row r="351" s="1" customFormat="1" spans="1:10">
      <c r="A351" s="5">
        <v>348</v>
      </c>
      <c r="B351" s="5" t="s">
        <v>34</v>
      </c>
      <c r="C351" s="5" t="s">
        <v>35</v>
      </c>
      <c r="D351" s="5" t="str">
        <f t="shared" si="12"/>
        <v>20220211001</v>
      </c>
      <c r="E351" s="5">
        <v>2</v>
      </c>
      <c r="F351" s="5" t="s">
        <v>14</v>
      </c>
      <c r="G351" s="5" t="str">
        <f>"毛祖元"</f>
        <v>毛祖元</v>
      </c>
      <c r="H351" s="5" t="str">
        <f>"112001315"</f>
        <v>112001315</v>
      </c>
      <c r="I351" s="5">
        <v>85.32</v>
      </c>
      <c r="J351" s="5"/>
    </row>
    <row r="352" s="1" customFormat="1" spans="1:10">
      <c r="A352" s="5">
        <v>349</v>
      </c>
      <c r="B352" s="5" t="s">
        <v>34</v>
      </c>
      <c r="C352" s="5" t="s">
        <v>35</v>
      </c>
      <c r="D352" s="5" t="str">
        <f t="shared" si="12"/>
        <v>20220211001</v>
      </c>
      <c r="E352" s="5">
        <v>2</v>
      </c>
      <c r="F352" s="5" t="s">
        <v>14</v>
      </c>
      <c r="G352" s="5" t="str">
        <f>"杨鹏"</f>
        <v>杨鹏</v>
      </c>
      <c r="H352" s="5" t="str">
        <f>"112001411"</f>
        <v>112001411</v>
      </c>
      <c r="I352" s="5">
        <v>83.92</v>
      </c>
      <c r="J352" s="5"/>
    </row>
    <row r="353" s="1" customFormat="1" spans="1:10">
      <c r="A353" s="5">
        <v>350</v>
      </c>
      <c r="B353" s="5" t="s">
        <v>34</v>
      </c>
      <c r="C353" s="5" t="s">
        <v>35</v>
      </c>
      <c r="D353" s="5" t="str">
        <f t="shared" si="12"/>
        <v>20220211001</v>
      </c>
      <c r="E353" s="5">
        <v>2</v>
      </c>
      <c r="F353" s="5" t="s">
        <v>14</v>
      </c>
      <c r="G353" s="5" t="str">
        <f>"向黎"</f>
        <v>向黎</v>
      </c>
      <c r="H353" s="5" t="str">
        <f>"112000823"</f>
        <v>112000823</v>
      </c>
      <c r="I353" s="5">
        <v>80.96</v>
      </c>
      <c r="J353" s="5"/>
    </row>
    <row r="354" s="1" customFormat="1" spans="1:10">
      <c r="A354" s="5">
        <v>351</v>
      </c>
      <c r="B354" s="5" t="s">
        <v>34</v>
      </c>
      <c r="C354" s="5" t="s">
        <v>35</v>
      </c>
      <c r="D354" s="5" t="str">
        <f t="shared" si="12"/>
        <v>20220211001</v>
      </c>
      <c r="E354" s="5">
        <v>2</v>
      </c>
      <c r="F354" s="5" t="s">
        <v>14</v>
      </c>
      <c r="G354" s="5" t="str">
        <f>"谢冬梅"</f>
        <v>谢冬梅</v>
      </c>
      <c r="H354" s="5" t="str">
        <f>"112001728"</f>
        <v>112001728</v>
      </c>
      <c r="I354" s="5">
        <v>79.52</v>
      </c>
      <c r="J354" s="5"/>
    </row>
    <row r="355" s="1" customFormat="1" spans="1:10">
      <c r="A355" s="5">
        <v>352</v>
      </c>
      <c r="B355" s="5" t="s">
        <v>34</v>
      </c>
      <c r="C355" s="5" t="s">
        <v>35</v>
      </c>
      <c r="D355" s="5" t="str">
        <f t="shared" si="12"/>
        <v>20220211001</v>
      </c>
      <c r="E355" s="5">
        <v>2</v>
      </c>
      <c r="F355" s="5" t="s">
        <v>14</v>
      </c>
      <c r="G355" s="5" t="str">
        <f>"欧阳潮"</f>
        <v>欧阳潮</v>
      </c>
      <c r="H355" s="5" t="str">
        <f>"112000603"</f>
        <v>112000603</v>
      </c>
      <c r="I355" s="5">
        <v>79.16</v>
      </c>
      <c r="J355" s="5"/>
    </row>
    <row r="356" s="1" customFormat="1" spans="1:10">
      <c r="A356" s="5">
        <v>353</v>
      </c>
      <c r="B356" s="5" t="s">
        <v>34</v>
      </c>
      <c r="C356" s="5" t="s">
        <v>35</v>
      </c>
      <c r="D356" s="5" t="str">
        <f t="shared" si="12"/>
        <v>20220211001</v>
      </c>
      <c r="E356" s="5">
        <v>2</v>
      </c>
      <c r="F356" s="5" t="s">
        <v>14</v>
      </c>
      <c r="G356" s="5" t="str">
        <f>"何浩奇"</f>
        <v>何浩奇</v>
      </c>
      <c r="H356" s="5" t="str">
        <f>"112000628"</f>
        <v>112000628</v>
      </c>
      <c r="I356" s="5">
        <v>76.6</v>
      </c>
      <c r="J356" s="5"/>
    </row>
    <row r="357" s="1" customFormat="1" spans="1:10">
      <c r="A357" s="5">
        <v>354</v>
      </c>
      <c r="B357" s="5" t="s">
        <v>34</v>
      </c>
      <c r="C357" s="5" t="s">
        <v>35</v>
      </c>
      <c r="D357" s="5" t="str">
        <f t="shared" si="12"/>
        <v>20220211001</v>
      </c>
      <c r="E357" s="5">
        <v>2</v>
      </c>
      <c r="F357" s="5" t="s">
        <v>14</v>
      </c>
      <c r="G357" s="5" t="str">
        <f>"陈金"</f>
        <v>陈金</v>
      </c>
      <c r="H357" s="5" t="str">
        <f>"112000904"</f>
        <v>112000904</v>
      </c>
      <c r="I357" s="5">
        <v>76.08</v>
      </c>
      <c r="J357" s="5"/>
    </row>
    <row r="358" s="1" customFormat="1" spans="1:10">
      <c r="A358" s="5">
        <v>355</v>
      </c>
      <c r="B358" s="5" t="s">
        <v>34</v>
      </c>
      <c r="C358" s="5" t="s">
        <v>35</v>
      </c>
      <c r="D358" s="5" t="str">
        <f t="shared" si="12"/>
        <v>20220211001</v>
      </c>
      <c r="E358" s="5">
        <v>2</v>
      </c>
      <c r="F358" s="5" t="s">
        <v>14</v>
      </c>
      <c r="G358" s="5" t="str">
        <f>"朱容"</f>
        <v>朱容</v>
      </c>
      <c r="H358" s="5" t="str">
        <f>"112001602"</f>
        <v>112001602</v>
      </c>
      <c r="I358" s="5">
        <v>73.92</v>
      </c>
      <c r="J358" s="5"/>
    </row>
    <row r="359" s="1" customFormat="1" spans="1:10">
      <c r="A359" s="5">
        <v>356</v>
      </c>
      <c r="B359" s="5" t="s">
        <v>34</v>
      </c>
      <c r="C359" s="5" t="s">
        <v>35</v>
      </c>
      <c r="D359" s="5" t="str">
        <f t="shared" si="12"/>
        <v>20220211001</v>
      </c>
      <c r="E359" s="5">
        <v>2</v>
      </c>
      <c r="F359" s="5" t="s">
        <v>14</v>
      </c>
      <c r="G359" s="5" t="str">
        <f>"张天云"</f>
        <v>张天云</v>
      </c>
      <c r="H359" s="5" t="str">
        <f>"112000326"</f>
        <v>112000326</v>
      </c>
      <c r="I359" s="5">
        <v>73.84</v>
      </c>
      <c r="J359" s="5"/>
    </row>
    <row r="360" s="1" customFormat="1" spans="1:10">
      <c r="A360" s="5">
        <v>357</v>
      </c>
      <c r="B360" s="5" t="s">
        <v>34</v>
      </c>
      <c r="C360" s="5" t="s">
        <v>35</v>
      </c>
      <c r="D360" s="5" t="str">
        <f t="shared" si="12"/>
        <v>20220211001</v>
      </c>
      <c r="E360" s="5">
        <v>2</v>
      </c>
      <c r="F360" s="5" t="s">
        <v>14</v>
      </c>
      <c r="G360" s="5" t="str">
        <f>"刘路国"</f>
        <v>刘路国</v>
      </c>
      <c r="H360" s="5" t="str">
        <f>"112000618"</f>
        <v>112000618</v>
      </c>
      <c r="I360" s="5">
        <v>73.12</v>
      </c>
      <c r="J360" s="5"/>
    </row>
    <row r="361" s="1" customFormat="1" spans="1:10">
      <c r="A361" s="5">
        <v>358</v>
      </c>
      <c r="B361" s="5" t="s">
        <v>34</v>
      </c>
      <c r="C361" s="5" t="s">
        <v>35</v>
      </c>
      <c r="D361" s="5" t="str">
        <f t="shared" si="12"/>
        <v>20220211001</v>
      </c>
      <c r="E361" s="5">
        <v>2</v>
      </c>
      <c r="F361" s="5" t="s">
        <v>14</v>
      </c>
      <c r="G361" s="5" t="str">
        <f>"张娜"</f>
        <v>张娜</v>
      </c>
      <c r="H361" s="5" t="str">
        <f>"112001421"</f>
        <v>112001421</v>
      </c>
      <c r="I361" s="5">
        <v>72.76</v>
      </c>
      <c r="J361" s="5"/>
    </row>
    <row r="362" s="1" customFormat="1" spans="1:10">
      <c r="A362" s="5">
        <v>359</v>
      </c>
      <c r="B362" s="5" t="s">
        <v>34</v>
      </c>
      <c r="C362" s="5" t="s">
        <v>35</v>
      </c>
      <c r="D362" s="5" t="str">
        <f t="shared" si="12"/>
        <v>20220211001</v>
      </c>
      <c r="E362" s="5">
        <v>2</v>
      </c>
      <c r="F362" s="5" t="s">
        <v>14</v>
      </c>
      <c r="G362" s="5" t="str">
        <f>"郭雨露"</f>
        <v>郭雨露</v>
      </c>
      <c r="H362" s="5" t="str">
        <f>"112001414"</f>
        <v>112001414</v>
      </c>
      <c r="I362" s="5">
        <v>71.88</v>
      </c>
      <c r="J362" s="5"/>
    </row>
    <row r="363" s="1" customFormat="1" spans="1:10">
      <c r="A363" s="5">
        <v>360</v>
      </c>
      <c r="B363" s="5" t="s">
        <v>34</v>
      </c>
      <c r="C363" s="5" t="s">
        <v>35</v>
      </c>
      <c r="D363" s="5" t="str">
        <f t="shared" si="12"/>
        <v>20220211001</v>
      </c>
      <c r="E363" s="5">
        <v>2</v>
      </c>
      <c r="F363" s="5" t="s">
        <v>14</v>
      </c>
      <c r="G363" s="5" t="str">
        <f>"冯鑫"</f>
        <v>冯鑫</v>
      </c>
      <c r="H363" s="5" t="str">
        <f>"112000422"</f>
        <v>112000422</v>
      </c>
      <c r="I363" s="5">
        <v>69.12</v>
      </c>
      <c r="J363" s="5"/>
    </row>
    <row r="364" s="1" customFormat="1" spans="1:10">
      <c r="A364" s="5">
        <v>361</v>
      </c>
      <c r="B364" s="5" t="s">
        <v>34</v>
      </c>
      <c r="C364" s="5" t="s">
        <v>35</v>
      </c>
      <c r="D364" s="5" t="str">
        <f t="shared" si="12"/>
        <v>20220211001</v>
      </c>
      <c r="E364" s="5">
        <v>2</v>
      </c>
      <c r="F364" s="5" t="s">
        <v>14</v>
      </c>
      <c r="G364" s="5" t="str">
        <f>"郭慧芸"</f>
        <v>郭慧芸</v>
      </c>
      <c r="H364" s="5" t="str">
        <f>"112000427"</f>
        <v>112000427</v>
      </c>
      <c r="I364" s="5">
        <v>49.72</v>
      </c>
      <c r="J364" s="5"/>
    </row>
    <row r="365" s="1" customFormat="1" spans="1:10">
      <c r="A365" s="5">
        <v>362</v>
      </c>
      <c r="B365" s="5" t="s">
        <v>34</v>
      </c>
      <c r="C365" s="5" t="s">
        <v>35</v>
      </c>
      <c r="D365" s="5" t="str">
        <f t="shared" si="12"/>
        <v>20220211001</v>
      </c>
      <c r="E365" s="5">
        <v>2</v>
      </c>
      <c r="F365" s="5" t="s">
        <v>14</v>
      </c>
      <c r="G365" s="5" t="str">
        <f>"牛犇"</f>
        <v>牛犇</v>
      </c>
      <c r="H365" s="5" t="str">
        <f>"112000102"</f>
        <v>112000102</v>
      </c>
      <c r="I365" s="5">
        <v>0</v>
      </c>
      <c r="J365" s="5" t="s">
        <v>15</v>
      </c>
    </row>
    <row r="366" s="1" customFormat="1" spans="1:10">
      <c r="A366" s="5">
        <v>363</v>
      </c>
      <c r="B366" s="5" t="s">
        <v>34</v>
      </c>
      <c r="C366" s="5" t="s">
        <v>35</v>
      </c>
      <c r="D366" s="5" t="str">
        <f t="shared" si="12"/>
        <v>20220211001</v>
      </c>
      <c r="E366" s="5">
        <v>2</v>
      </c>
      <c r="F366" s="5" t="s">
        <v>14</v>
      </c>
      <c r="G366" s="5" t="str">
        <f>"丁娜"</f>
        <v>丁娜</v>
      </c>
      <c r="H366" s="5" t="str">
        <f>"112000205"</f>
        <v>112000205</v>
      </c>
      <c r="I366" s="5">
        <v>0</v>
      </c>
      <c r="J366" s="5" t="s">
        <v>15</v>
      </c>
    </row>
    <row r="367" s="1" customFormat="1" spans="1:10">
      <c r="A367" s="5">
        <v>364</v>
      </c>
      <c r="B367" s="5" t="s">
        <v>34</v>
      </c>
      <c r="C367" s="5" t="s">
        <v>35</v>
      </c>
      <c r="D367" s="5" t="str">
        <f t="shared" si="12"/>
        <v>20220211001</v>
      </c>
      <c r="E367" s="5">
        <v>2</v>
      </c>
      <c r="F367" s="5" t="s">
        <v>14</v>
      </c>
      <c r="G367" s="5" t="str">
        <f>"潘想成"</f>
        <v>潘想成</v>
      </c>
      <c r="H367" s="5" t="str">
        <f>"112000222"</f>
        <v>112000222</v>
      </c>
      <c r="I367" s="5">
        <v>0</v>
      </c>
      <c r="J367" s="5" t="s">
        <v>15</v>
      </c>
    </row>
    <row r="368" s="1" customFormat="1" spans="1:10">
      <c r="A368" s="5">
        <v>365</v>
      </c>
      <c r="B368" s="5" t="s">
        <v>34</v>
      </c>
      <c r="C368" s="5" t="s">
        <v>35</v>
      </c>
      <c r="D368" s="5" t="str">
        <f t="shared" si="12"/>
        <v>20220211001</v>
      </c>
      <c r="E368" s="5">
        <v>2</v>
      </c>
      <c r="F368" s="5" t="s">
        <v>14</v>
      </c>
      <c r="G368" s="5" t="str">
        <f>"胡俊明"</f>
        <v>胡俊明</v>
      </c>
      <c r="H368" s="5" t="str">
        <f>"112000228"</f>
        <v>112000228</v>
      </c>
      <c r="I368" s="5">
        <v>0</v>
      </c>
      <c r="J368" s="5" t="s">
        <v>15</v>
      </c>
    </row>
    <row r="369" s="1" customFormat="1" spans="1:10">
      <c r="A369" s="5">
        <v>366</v>
      </c>
      <c r="B369" s="5" t="s">
        <v>34</v>
      </c>
      <c r="C369" s="5" t="s">
        <v>35</v>
      </c>
      <c r="D369" s="5" t="str">
        <f t="shared" si="12"/>
        <v>20220211001</v>
      </c>
      <c r="E369" s="5">
        <v>2</v>
      </c>
      <c r="F369" s="5" t="s">
        <v>14</v>
      </c>
      <c r="G369" s="5" t="str">
        <f>"李雅枫"</f>
        <v>李雅枫</v>
      </c>
      <c r="H369" s="5" t="str">
        <f>"112000307"</f>
        <v>112000307</v>
      </c>
      <c r="I369" s="5">
        <v>0</v>
      </c>
      <c r="J369" s="5" t="s">
        <v>15</v>
      </c>
    </row>
    <row r="370" s="1" customFormat="1" spans="1:10">
      <c r="A370" s="5">
        <v>367</v>
      </c>
      <c r="B370" s="5" t="s">
        <v>34</v>
      </c>
      <c r="C370" s="5" t="s">
        <v>35</v>
      </c>
      <c r="D370" s="5" t="str">
        <f t="shared" si="12"/>
        <v>20220211001</v>
      </c>
      <c r="E370" s="5">
        <v>2</v>
      </c>
      <c r="F370" s="5" t="s">
        <v>14</v>
      </c>
      <c r="G370" s="5" t="str">
        <f>"汪康康"</f>
        <v>汪康康</v>
      </c>
      <c r="H370" s="5" t="str">
        <f>"112000316"</f>
        <v>112000316</v>
      </c>
      <c r="I370" s="5">
        <v>0</v>
      </c>
      <c r="J370" s="5" t="s">
        <v>15</v>
      </c>
    </row>
    <row r="371" s="1" customFormat="1" spans="1:10">
      <c r="A371" s="5">
        <v>368</v>
      </c>
      <c r="B371" s="5" t="s">
        <v>34</v>
      </c>
      <c r="C371" s="5" t="s">
        <v>35</v>
      </c>
      <c r="D371" s="5" t="str">
        <f t="shared" si="12"/>
        <v>20220211001</v>
      </c>
      <c r="E371" s="5">
        <v>2</v>
      </c>
      <c r="F371" s="5" t="s">
        <v>14</v>
      </c>
      <c r="G371" s="5" t="str">
        <f>"魏红敏"</f>
        <v>魏红敏</v>
      </c>
      <c r="H371" s="5" t="str">
        <f>"112000416"</f>
        <v>112000416</v>
      </c>
      <c r="I371" s="5">
        <v>0</v>
      </c>
      <c r="J371" s="5" t="s">
        <v>15</v>
      </c>
    </row>
    <row r="372" s="1" customFormat="1" spans="1:10">
      <c r="A372" s="5">
        <v>369</v>
      </c>
      <c r="B372" s="5" t="s">
        <v>34</v>
      </c>
      <c r="C372" s="5" t="s">
        <v>35</v>
      </c>
      <c r="D372" s="5" t="str">
        <f t="shared" si="12"/>
        <v>20220211001</v>
      </c>
      <c r="E372" s="5">
        <v>2</v>
      </c>
      <c r="F372" s="5" t="s">
        <v>14</v>
      </c>
      <c r="G372" s="5" t="str">
        <f>"晏晓原"</f>
        <v>晏晓原</v>
      </c>
      <c r="H372" s="5" t="str">
        <f>"112000608"</f>
        <v>112000608</v>
      </c>
      <c r="I372" s="5">
        <v>0</v>
      </c>
      <c r="J372" s="5" t="s">
        <v>15</v>
      </c>
    </row>
    <row r="373" s="1" customFormat="1" spans="1:10">
      <c r="A373" s="5">
        <v>370</v>
      </c>
      <c r="B373" s="5" t="s">
        <v>34</v>
      </c>
      <c r="C373" s="5" t="s">
        <v>35</v>
      </c>
      <c r="D373" s="5" t="str">
        <f t="shared" si="12"/>
        <v>20220211001</v>
      </c>
      <c r="E373" s="5">
        <v>2</v>
      </c>
      <c r="F373" s="5" t="s">
        <v>14</v>
      </c>
      <c r="G373" s="5" t="str">
        <f>"刘雨航"</f>
        <v>刘雨航</v>
      </c>
      <c r="H373" s="5" t="str">
        <f>"112000708"</f>
        <v>112000708</v>
      </c>
      <c r="I373" s="5">
        <v>0</v>
      </c>
      <c r="J373" s="5" t="s">
        <v>15</v>
      </c>
    </row>
    <row r="374" s="1" customFormat="1" spans="1:10">
      <c r="A374" s="5">
        <v>371</v>
      </c>
      <c r="B374" s="5" t="s">
        <v>34</v>
      </c>
      <c r="C374" s="5" t="s">
        <v>35</v>
      </c>
      <c r="D374" s="5" t="str">
        <f t="shared" si="12"/>
        <v>20220211001</v>
      </c>
      <c r="E374" s="5">
        <v>2</v>
      </c>
      <c r="F374" s="5" t="s">
        <v>14</v>
      </c>
      <c r="G374" s="5" t="str">
        <f>"王航辉"</f>
        <v>王航辉</v>
      </c>
      <c r="H374" s="5" t="str">
        <f>"112000726"</f>
        <v>112000726</v>
      </c>
      <c r="I374" s="5">
        <v>0</v>
      </c>
      <c r="J374" s="5" t="s">
        <v>15</v>
      </c>
    </row>
    <row r="375" s="1" customFormat="1" spans="1:10">
      <c r="A375" s="5">
        <v>372</v>
      </c>
      <c r="B375" s="5" t="s">
        <v>34</v>
      </c>
      <c r="C375" s="5" t="s">
        <v>35</v>
      </c>
      <c r="D375" s="5" t="str">
        <f t="shared" si="12"/>
        <v>20220211001</v>
      </c>
      <c r="E375" s="5">
        <v>2</v>
      </c>
      <c r="F375" s="5" t="s">
        <v>14</v>
      </c>
      <c r="G375" s="5" t="str">
        <f>"刘禹"</f>
        <v>刘禹</v>
      </c>
      <c r="H375" s="5" t="str">
        <f>"112000822"</f>
        <v>112000822</v>
      </c>
      <c r="I375" s="5">
        <v>0</v>
      </c>
      <c r="J375" s="5" t="s">
        <v>15</v>
      </c>
    </row>
    <row r="376" s="1" customFormat="1" spans="1:10">
      <c r="A376" s="5">
        <v>373</v>
      </c>
      <c r="B376" s="5" t="s">
        <v>34</v>
      </c>
      <c r="C376" s="5" t="s">
        <v>35</v>
      </c>
      <c r="D376" s="5" t="str">
        <f t="shared" si="12"/>
        <v>20220211001</v>
      </c>
      <c r="E376" s="5">
        <v>2</v>
      </c>
      <c r="F376" s="5" t="s">
        <v>14</v>
      </c>
      <c r="G376" s="5" t="str">
        <f>"常欣玉"</f>
        <v>常欣玉</v>
      </c>
      <c r="H376" s="5" t="str">
        <f>"112000825"</f>
        <v>112000825</v>
      </c>
      <c r="I376" s="5">
        <v>0</v>
      </c>
      <c r="J376" s="5" t="s">
        <v>15</v>
      </c>
    </row>
    <row r="377" s="1" customFormat="1" spans="1:10">
      <c r="A377" s="5">
        <v>374</v>
      </c>
      <c r="B377" s="5" t="s">
        <v>34</v>
      </c>
      <c r="C377" s="5" t="s">
        <v>35</v>
      </c>
      <c r="D377" s="5" t="str">
        <f t="shared" si="12"/>
        <v>20220211001</v>
      </c>
      <c r="E377" s="5">
        <v>2</v>
      </c>
      <c r="F377" s="5" t="s">
        <v>14</v>
      </c>
      <c r="G377" s="5" t="str">
        <f>"李亚典"</f>
        <v>李亚典</v>
      </c>
      <c r="H377" s="5" t="str">
        <f>"112000912"</f>
        <v>112000912</v>
      </c>
      <c r="I377" s="5">
        <v>0</v>
      </c>
      <c r="J377" s="5" t="s">
        <v>15</v>
      </c>
    </row>
    <row r="378" s="1" customFormat="1" spans="1:10">
      <c r="A378" s="5">
        <v>375</v>
      </c>
      <c r="B378" s="5" t="s">
        <v>34</v>
      </c>
      <c r="C378" s="5" t="s">
        <v>35</v>
      </c>
      <c r="D378" s="5" t="str">
        <f t="shared" si="12"/>
        <v>20220211001</v>
      </c>
      <c r="E378" s="5">
        <v>2</v>
      </c>
      <c r="F378" s="5" t="s">
        <v>14</v>
      </c>
      <c r="G378" s="5" t="str">
        <f>"赵倩倩"</f>
        <v>赵倩倩</v>
      </c>
      <c r="H378" s="5" t="str">
        <f>"112000913"</f>
        <v>112000913</v>
      </c>
      <c r="I378" s="5">
        <v>0</v>
      </c>
      <c r="J378" s="5" t="s">
        <v>15</v>
      </c>
    </row>
    <row r="379" s="1" customFormat="1" spans="1:10">
      <c r="A379" s="5">
        <v>376</v>
      </c>
      <c r="B379" s="5" t="s">
        <v>34</v>
      </c>
      <c r="C379" s="5" t="s">
        <v>35</v>
      </c>
      <c r="D379" s="5" t="str">
        <f t="shared" si="12"/>
        <v>20220211001</v>
      </c>
      <c r="E379" s="5">
        <v>2</v>
      </c>
      <c r="F379" s="5" t="s">
        <v>14</v>
      </c>
      <c r="G379" s="5" t="str">
        <f>"宋芷薇"</f>
        <v>宋芷薇</v>
      </c>
      <c r="H379" s="5" t="str">
        <f>"112001104"</f>
        <v>112001104</v>
      </c>
      <c r="I379" s="5">
        <v>0</v>
      </c>
      <c r="J379" s="5" t="s">
        <v>15</v>
      </c>
    </row>
    <row r="380" s="1" customFormat="1" spans="1:10">
      <c r="A380" s="5">
        <v>377</v>
      </c>
      <c r="B380" s="5" t="s">
        <v>34</v>
      </c>
      <c r="C380" s="5" t="s">
        <v>35</v>
      </c>
      <c r="D380" s="5" t="str">
        <f t="shared" si="12"/>
        <v>20220211001</v>
      </c>
      <c r="E380" s="5">
        <v>2</v>
      </c>
      <c r="F380" s="5" t="s">
        <v>14</v>
      </c>
      <c r="G380" s="5" t="str">
        <f>"黄健星"</f>
        <v>黄健星</v>
      </c>
      <c r="H380" s="5" t="str">
        <f>"112001111"</f>
        <v>112001111</v>
      </c>
      <c r="I380" s="5">
        <v>0</v>
      </c>
      <c r="J380" s="5" t="s">
        <v>15</v>
      </c>
    </row>
    <row r="381" s="1" customFormat="1" spans="1:10">
      <c r="A381" s="5">
        <v>378</v>
      </c>
      <c r="B381" s="5" t="s">
        <v>34</v>
      </c>
      <c r="C381" s="5" t="s">
        <v>35</v>
      </c>
      <c r="D381" s="5" t="str">
        <f t="shared" si="12"/>
        <v>20220211001</v>
      </c>
      <c r="E381" s="5">
        <v>2</v>
      </c>
      <c r="F381" s="5" t="s">
        <v>14</v>
      </c>
      <c r="G381" s="5" t="str">
        <f>"向志达"</f>
        <v>向志达</v>
      </c>
      <c r="H381" s="5" t="str">
        <f>"112001123"</f>
        <v>112001123</v>
      </c>
      <c r="I381" s="5">
        <v>0</v>
      </c>
      <c r="J381" s="5" t="s">
        <v>15</v>
      </c>
    </row>
    <row r="382" s="1" customFormat="1" spans="1:10">
      <c r="A382" s="5">
        <v>379</v>
      </c>
      <c r="B382" s="5" t="s">
        <v>34</v>
      </c>
      <c r="C382" s="5" t="s">
        <v>35</v>
      </c>
      <c r="D382" s="5" t="str">
        <f t="shared" si="12"/>
        <v>20220211001</v>
      </c>
      <c r="E382" s="5">
        <v>2</v>
      </c>
      <c r="F382" s="5" t="s">
        <v>14</v>
      </c>
      <c r="G382" s="5" t="str">
        <f>"冯静琪"</f>
        <v>冯静琪</v>
      </c>
      <c r="H382" s="5" t="str">
        <f>"112001208"</f>
        <v>112001208</v>
      </c>
      <c r="I382" s="5">
        <v>0</v>
      </c>
      <c r="J382" s="5" t="s">
        <v>15</v>
      </c>
    </row>
    <row r="383" s="1" customFormat="1" spans="1:10">
      <c r="A383" s="5">
        <v>380</v>
      </c>
      <c r="B383" s="5" t="s">
        <v>34</v>
      </c>
      <c r="C383" s="5" t="s">
        <v>35</v>
      </c>
      <c r="D383" s="5" t="str">
        <f t="shared" si="12"/>
        <v>20220211001</v>
      </c>
      <c r="E383" s="5">
        <v>2</v>
      </c>
      <c r="F383" s="5" t="s">
        <v>14</v>
      </c>
      <c r="G383" s="5" t="str">
        <f>"王国燕"</f>
        <v>王国燕</v>
      </c>
      <c r="H383" s="5" t="str">
        <f>"112001223"</f>
        <v>112001223</v>
      </c>
      <c r="I383" s="5">
        <v>0</v>
      </c>
      <c r="J383" s="5" t="s">
        <v>15</v>
      </c>
    </row>
    <row r="384" s="1" customFormat="1" spans="1:10">
      <c r="A384" s="5">
        <v>381</v>
      </c>
      <c r="B384" s="5" t="s">
        <v>34</v>
      </c>
      <c r="C384" s="5" t="s">
        <v>35</v>
      </c>
      <c r="D384" s="5" t="str">
        <f t="shared" si="12"/>
        <v>20220211001</v>
      </c>
      <c r="E384" s="5">
        <v>2</v>
      </c>
      <c r="F384" s="5" t="s">
        <v>14</v>
      </c>
      <c r="G384" s="5" t="str">
        <f>"李望舒"</f>
        <v>李望舒</v>
      </c>
      <c r="H384" s="5" t="str">
        <f>"112001310"</f>
        <v>112001310</v>
      </c>
      <c r="I384" s="5">
        <v>0</v>
      </c>
      <c r="J384" s="5" t="s">
        <v>15</v>
      </c>
    </row>
    <row r="385" s="1" customFormat="1" spans="1:10">
      <c r="A385" s="5">
        <v>382</v>
      </c>
      <c r="B385" s="5" t="s">
        <v>34</v>
      </c>
      <c r="C385" s="5" t="s">
        <v>35</v>
      </c>
      <c r="D385" s="5" t="str">
        <f t="shared" si="12"/>
        <v>20220211001</v>
      </c>
      <c r="E385" s="5">
        <v>2</v>
      </c>
      <c r="F385" s="5" t="s">
        <v>14</v>
      </c>
      <c r="G385" s="5" t="str">
        <f>"闫春晖"</f>
        <v>闫春晖</v>
      </c>
      <c r="H385" s="5" t="str">
        <f>"112001312"</f>
        <v>112001312</v>
      </c>
      <c r="I385" s="5">
        <v>0</v>
      </c>
      <c r="J385" s="5" t="s">
        <v>15</v>
      </c>
    </row>
    <row r="386" s="1" customFormat="1" spans="1:10">
      <c r="A386" s="5">
        <v>383</v>
      </c>
      <c r="B386" s="5" t="s">
        <v>34</v>
      </c>
      <c r="C386" s="5" t="s">
        <v>35</v>
      </c>
      <c r="D386" s="5" t="str">
        <f t="shared" si="12"/>
        <v>20220211001</v>
      </c>
      <c r="E386" s="5">
        <v>2</v>
      </c>
      <c r="F386" s="5" t="s">
        <v>14</v>
      </c>
      <c r="G386" s="5" t="str">
        <f>"张金影"</f>
        <v>张金影</v>
      </c>
      <c r="H386" s="5" t="str">
        <f>"112001316"</f>
        <v>112001316</v>
      </c>
      <c r="I386" s="5">
        <v>0</v>
      </c>
      <c r="J386" s="5" t="s">
        <v>15</v>
      </c>
    </row>
    <row r="387" s="1" customFormat="1" spans="1:10">
      <c r="A387" s="5">
        <v>384</v>
      </c>
      <c r="B387" s="5" t="s">
        <v>34</v>
      </c>
      <c r="C387" s="5" t="s">
        <v>35</v>
      </c>
      <c r="D387" s="5" t="str">
        <f t="shared" si="12"/>
        <v>20220211001</v>
      </c>
      <c r="E387" s="5">
        <v>2</v>
      </c>
      <c r="F387" s="5" t="s">
        <v>14</v>
      </c>
      <c r="G387" s="5" t="str">
        <f>"李钟淏"</f>
        <v>李钟淏</v>
      </c>
      <c r="H387" s="5" t="str">
        <f>"112001323"</f>
        <v>112001323</v>
      </c>
      <c r="I387" s="5">
        <v>0</v>
      </c>
      <c r="J387" s="5" t="s">
        <v>15</v>
      </c>
    </row>
    <row r="388" s="1" customFormat="1" spans="1:10">
      <c r="A388" s="5">
        <v>385</v>
      </c>
      <c r="B388" s="5" t="s">
        <v>34</v>
      </c>
      <c r="C388" s="5" t="s">
        <v>35</v>
      </c>
      <c r="D388" s="5" t="str">
        <f t="shared" si="12"/>
        <v>20220211001</v>
      </c>
      <c r="E388" s="5">
        <v>2</v>
      </c>
      <c r="F388" s="5" t="s">
        <v>14</v>
      </c>
      <c r="G388" s="5" t="str">
        <f>"李琛"</f>
        <v>李琛</v>
      </c>
      <c r="H388" s="5" t="str">
        <f>"112001408"</f>
        <v>112001408</v>
      </c>
      <c r="I388" s="5">
        <v>0</v>
      </c>
      <c r="J388" s="5" t="s">
        <v>15</v>
      </c>
    </row>
    <row r="389" s="1" customFormat="1" spans="1:10">
      <c r="A389" s="5">
        <v>386</v>
      </c>
      <c r="B389" s="5" t="s">
        <v>34</v>
      </c>
      <c r="C389" s="5" t="s">
        <v>35</v>
      </c>
      <c r="D389" s="5" t="str">
        <f t="shared" si="12"/>
        <v>20220211001</v>
      </c>
      <c r="E389" s="5">
        <v>2</v>
      </c>
      <c r="F389" s="5" t="s">
        <v>14</v>
      </c>
      <c r="G389" s="5" t="str">
        <f>"杨琴"</f>
        <v>杨琴</v>
      </c>
      <c r="H389" s="5" t="str">
        <f>"112001419"</f>
        <v>112001419</v>
      </c>
      <c r="I389" s="5">
        <v>0</v>
      </c>
      <c r="J389" s="5" t="s">
        <v>15</v>
      </c>
    </row>
    <row r="390" s="1" customFormat="1" spans="1:10">
      <c r="A390" s="5">
        <v>387</v>
      </c>
      <c r="B390" s="5" t="s">
        <v>34</v>
      </c>
      <c r="C390" s="5" t="s">
        <v>35</v>
      </c>
      <c r="D390" s="5" t="str">
        <f t="shared" si="12"/>
        <v>20220211001</v>
      </c>
      <c r="E390" s="5">
        <v>2</v>
      </c>
      <c r="F390" s="5" t="s">
        <v>14</v>
      </c>
      <c r="G390" s="5" t="str">
        <f>"刘力"</f>
        <v>刘力</v>
      </c>
      <c r="H390" s="5" t="str">
        <f>"112001502"</f>
        <v>112001502</v>
      </c>
      <c r="I390" s="5">
        <v>0</v>
      </c>
      <c r="J390" s="5" t="s">
        <v>15</v>
      </c>
    </row>
    <row r="391" s="1" customFormat="1" spans="1:10">
      <c r="A391" s="5">
        <v>388</v>
      </c>
      <c r="B391" s="5" t="s">
        <v>34</v>
      </c>
      <c r="C391" s="5" t="s">
        <v>35</v>
      </c>
      <c r="D391" s="5" t="str">
        <f t="shared" si="12"/>
        <v>20220211001</v>
      </c>
      <c r="E391" s="5">
        <v>2</v>
      </c>
      <c r="F391" s="5" t="s">
        <v>14</v>
      </c>
      <c r="G391" s="5" t="str">
        <f>"吴春祥"</f>
        <v>吴春祥</v>
      </c>
      <c r="H391" s="5" t="str">
        <f>"112001605"</f>
        <v>112001605</v>
      </c>
      <c r="I391" s="5">
        <v>0</v>
      </c>
      <c r="J391" s="5" t="s">
        <v>15</v>
      </c>
    </row>
    <row r="392" s="1" customFormat="1" spans="1:10">
      <c r="A392" s="5">
        <v>389</v>
      </c>
      <c r="B392" s="5" t="s">
        <v>34</v>
      </c>
      <c r="C392" s="5" t="s">
        <v>35</v>
      </c>
      <c r="D392" s="5" t="str">
        <f t="shared" si="12"/>
        <v>20220211001</v>
      </c>
      <c r="E392" s="5">
        <v>2</v>
      </c>
      <c r="F392" s="5" t="s">
        <v>14</v>
      </c>
      <c r="G392" s="5" t="str">
        <f>"张贺通"</f>
        <v>张贺通</v>
      </c>
      <c r="H392" s="5" t="str">
        <f>"112001618"</f>
        <v>112001618</v>
      </c>
      <c r="I392" s="5">
        <v>0</v>
      </c>
      <c r="J392" s="5" t="s">
        <v>15</v>
      </c>
    </row>
    <row r="393" s="1" customFormat="1" spans="1:10">
      <c r="A393" s="5">
        <v>390</v>
      </c>
      <c r="B393" s="5" t="s">
        <v>34</v>
      </c>
      <c r="C393" s="5" t="s">
        <v>35</v>
      </c>
      <c r="D393" s="5" t="str">
        <f t="shared" si="12"/>
        <v>20220211001</v>
      </c>
      <c r="E393" s="5">
        <v>2</v>
      </c>
      <c r="F393" s="5" t="s">
        <v>14</v>
      </c>
      <c r="G393" s="5" t="str">
        <f>"丁萌"</f>
        <v>丁萌</v>
      </c>
      <c r="H393" s="5" t="str">
        <f>"112001714"</f>
        <v>112001714</v>
      </c>
      <c r="I393" s="5">
        <v>0</v>
      </c>
      <c r="J393" s="5" t="s">
        <v>15</v>
      </c>
    </row>
    <row r="394" s="1" customFormat="1" spans="1:10">
      <c r="A394" s="5">
        <v>391</v>
      </c>
      <c r="B394" s="5" t="s">
        <v>34</v>
      </c>
      <c r="C394" s="5" t="s">
        <v>35</v>
      </c>
      <c r="D394" s="5" t="str">
        <f t="shared" si="12"/>
        <v>20220211001</v>
      </c>
      <c r="E394" s="5">
        <v>2</v>
      </c>
      <c r="F394" s="5" t="s">
        <v>14</v>
      </c>
      <c r="G394" s="5" t="str">
        <f>"吴沐秀"</f>
        <v>吴沐秀</v>
      </c>
      <c r="H394" s="5" t="str">
        <f>"112001904"</f>
        <v>112001904</v>
      </c>
      <c r="I394" s="5">
        <v>0</v>
      </c>
      <c r="J394" s="5" t="s">
        <v>15</v>
      </c>
    </row>
    <row r="395" s="1" customFormat="1" spans="1:10">
      <c r="A395" s="5">
        <v>392</v>
      </c>
      <c r="B395" s="5" t="s">
        <v>34</v>
      </c>
      <c r="C395" s="5" t="s">
        <v>35</v>
      </c>
      <c r="D395" s="5" t="str">
        <f t="shared" si="12"/>
        <v>20220211001</v>
      </c>
      <c r="E395" s="5">
        <v>2</v>
      </c>
      <c r="F395" s="5" t="s">
        <v>14</v>
      </c>
      <c r="G395" s="5" t="str">
        <f>"郑建伟"</f>
        <v>郑建伟</v>
      </c>
      <c r="H395" s="5" t="str">
        <f>"112001906"</f>
        <v>112001906</v>
      </c>
      <c r="I395" s="5">
        <v>0</v>
      </c>
      <c r="J395" s="5" t="s">
        <v>15</v>
      </c>
    </row>
    <row r="396" s="1" customFormat="1" spans="1:10">
      <c r="A396" s="5">
        <v>393</v>
      </c>
      <c r="B396" s="5" t="s">
        <v>34</v>
      </c>
      <c r="C396" s="5" t="s">
        <v>35</v>
      </c>
      <c r="D396" s="5" t="str">
        <f t="shared" si="12"/>
        <v>20220211001</v>
      </c>
      <c r="E396" s="5">
        <v>2</v>
      </c>
      <c r="F396" s="5" t="s">
        <v>14</v>
      </c>
      <c r="G396" s="5" t="str">
        <f>"牟悦"</f>
        <v>牟悦</v>
      </c>
      <c r="H396" s="5" t="str">
        <f>"112001907"</f>
        <v>112001907</v>
      </c>
      <c r="I396" s="5">
        <v>0</v>
      </c>
      <c r="J396" s="5" t="s">
        <v>15</v>
      </c>
    </row>
    <row r="397" s="1" customFormat="1" spans="1:10">
      <c r="A397" s="5">
        <v>394</v>
      </c>
      <c r="B397" s="5" t="s">
        <v>36</v>
      </c>
      <c r="C397" s="5" t="s">
        <v>37</v>
      </c>
      <c r="D397" s="5" t="str">
        <f t="shared" ref="D397:D405" si="13">"20220212001"</f>
        <v>20220212001</v>
      </c>
      <c r="E397" s="5">
        <v>1</v>
      </c>
      <c r="F397" s="5" t="s">
        <v>14</v>
      </c>
      <c r="G397" s="5" t="str">
        <f>"谭玉玲"</f>
        <v>谭玉玲</v>
      </c>
      <c r="H397" s="5" t="str">
        <f>"112000919"</f>
        <v>112000919</v>
      </c>
      <c r="I397" s="5">
        <v>89.24</v>
      </c>
      <c r="J397" s="5"/>
    </row>
    <row r="398" s="1" customFormat="1" spans="1:10">
      <c r="A398" s="5">
        <v>395</v>
      </c>
      <c r="B398" s="5" t="s">
        <v>36</v>
      </c>
      <c r="C398" s="5" t="s">
        <v>37</v>
      </c>
      <c r="D398" s="5" t="str">
        <f t="shared" si="13"/>
        <v>20220212001</v>
      </c>
      <c r="E398" s="5">
        <v>1</v>
      </c>
      <c r="F398" s="5" t="s">
        <v>14</v>
      </c>
      <c r="G398" s="5" t="str">
        <f>"赵娟"</f>
        <v>赵娟</v>
      </c>
      <c r="H398" s="5" t="str">
        <f>"112000218"</f>
        <v>112000218</v>
      </c>
      <c r="I398" s="5">
        <v>86.56</v>
      </c>
      <c r="J398" s="5"/>
    </row>
    <row r="399" s="1" customFormat="1" spans="1:10">
      <c r="A399" s="5">
        <v>396</v>
      </c>
      <c r="B399" s="5" t="s">
        <v>36</v>
      </c>
      <c r="C399" s="5" t="s">
        <v>37</v>
      </c>
      <c r="D399" s="5" t="str">
        <f t="shared" si="13"/>
        <v>20220212001</v>
      </c>
      <c r="E399" s="5">
        <v>1</v>
      </c>
      <c r="F399" s="5" t="s">
        <v>14</v>
      </c>
      <c r="G399" s="5" t="str">
        <f>"文章"</f>
        <v>文章</v>
      </c>
      <c r="H399" s="5" t="str">
        <f>"112000125"</f>
        <v>112000125</v>
      </c>
      <c r="I399" s="5">
        <v>81.96</v>
      </c>
      <c r="J399" s="5"/>
    </row>
    <row r="400" s="1" customFormat="1" spans="1:10">
      <c r="A400" s="5">
        <v>397</v>
      </c>
      <c r="B400" s="5" t="s">
        <v>36</v>
      </c>
      <c r="C400" s="5" t="s">
        <v>37</v>
      </c>
      <c r="D400" s="5" t="str">
        <f t="shared" si="13"/>
        <v>20220212001</v>
      </c>
      <c r="E400" s="5">
        <v>1</v>
      </c>
      <c r="F400" s="5" t="s">
        <v>14</v>
      </c>
      <c r="G400" s="5" t="str">
        <f>"来子林"</f>
        <v>来子林</v>
      </c>
      <c r="H400" s="5" t="str">
        <f>"112000226"</f>
        <v>112000226</v>
      </c>
      <c r="I400" s="5">
        <v>80.64</v>
      </c>
      <c r="J400" s="5"/>
    </row>
    <row r="401" s="1" customFormat="1" spans="1:10">
      <c r="A401" s="5">
        <v>398</v>
      </c>
      <c r="B401" s="5" t="s">
        <v>36</v>
      </c>
      <c r="C401" s="5" t="s">
        <v>37</v>
      </c>
      <c r="D401" s="5" t="str">
        <f t="shared" si="13"/>
        <v>20220212001</v>
      </c>
      <c r="E401" s="5">
        <v>1</v>
      </c>
      <c r="F401" s="5" t="s">
        <v>14</v>
      </c>
      <c r="G401" s="5" t="str">
        <f>"余乔"</f>
        <v>余乔</v>
      </c>
      <c r="H401" s="5" t="str">
        <f>"112001122"</f>
        <v>112001122</v>
      </c>
      <c r="I401" s="5">
        <v>74.64</v>
      </c>
      <c r="J401" s="5"/>
    </row>
    <row r="402" s="1" customFormat="1" spans="1:10">
      <c r="A402" s="5">
        <v>399</v>
      </c>
      <c r="B402" s="5" t="s">
        <v>36</v>
      </c>
      <c r="C402" s="5" t="s">
        <v>37</v>
      </c>
      <c r="D402" s="5" t="str">
        <f t="shared" si="13"/>
        <v>20220212001</v>
      </c>
      <c r="E402" s="5">
        <v>1</v>
      </c>
      <c r="F402" s="5" t="s">
        <v>14</v>
      </c>
      <c r="G402" s="5" t="str">
        <f>"黄晓琳"</f>
        <v>黄晓琳</v>
      </c>
      <c r="H402" s="5" t="str">
        <f>"112000129"</f>
        <v>112000129</v>
      </c>
      <c r="I402" s="5">
        <v>73.92</v>
      </c>
      <c r="J402" s="5"/>
    </row>
    <row r="403" s="1" customFormat="1" spans="1:10">
      <c r="A403" s="5">
        <v>400</v>
      </c>
      <c r="B403" s="5" t="s">
        <v>36</v>
      </c>
      <c r="C403" s="5" t="s">
        <v>37</v>
      </c>
      <c r="D403" s="5" t="str">
        <f t="shared" si="13"/>
        <v>20220212001</v>
      </c>
      <c r="E403" s="5">
        <v>1</v>
      </c>
      <c r="F403" s="5" t="s">
        <v>14</v>
      </c>
      <c r="G403" s="5" t="str">
        <f>"金珂如"</f>
        <v>金珂如</v>
      </c>
      <c r="H403" s="5" t="str">
        <f>"112000807"</f>
        <v>112000807</v>
      </c>
      <c r="I403" s="5">
        <v>0</v>
      </c>
      <c r="J403" s="5" t="s">
        <v>15</v>
      </c>
    </row>
    <row r="404" s="1" customFormat="1" spans="1:10">
      <c r="A404" s="5">
        <v>401</v>
      </c>
      <c r="B404" s="5" t="s">
        <v>36</v>
      </c>
      <c r="C404" s="5" t="s">
        <v>37</v>
      </c>
      <c r="D404" s="5" t="str">
        <f t="shared" si="13"/>
        <v>20220212001</v>
      </c>
      <c r="E404" s="5">
        <v>1</v>
      </c>
      <c r="F404" s="5" t="s">
        <v>14</v>
      </c>
      <c r="G404" s="5" t="str">
        <f>"廖娟"</f>
        <v>廖娟</v>
      </c>
      <c r="H404" s="5" t="str">
        <f>"112001021"</f>
        <v>112001021</v>
      </c>
      <c r="I404" s="5">
        <v>0</v>
      </c>
      <c r="J404" s="5" t="s">
        <v>15</v>
      </c>
    </row>
    <row r="405" s="1" customFormat="1" spans="1:10">
      <c r="A405" s="5">
        <v>402</v>
      </c>
      <c r="B405" s="5" t="s">
        <v>36</v>
      </c>
      <c r="C405" s="5" t="s">
        <v>37</v>
      </c>
      <c r="D405" s="5" t="str">
        <f t="shared" si="13"/>
        <v>20220212001</v>
      </c>
      <c r="E405" s="5">
        <v>1</v>
      </c>
      <c r="F405" s="5" t="s">
        <v>14</v>
      </c>
      <c r="G405" s="5" t="str">
        <f>"王珣"</f>
        <v>王珣</v>
      </c>
      <c r="H405" s="5" t="str">
        <f>"112001413"</f>
        <v>112001413</v>
      </c>
      <c r="I405" s="5">
        <v>0</v>
      </c>
      <c r="J405" s="5" t="s">
        <v>15</v>
      </c>
    </row>
    <row r="406" s="1" customFormat="1" spans="1:10">
      <c r="A406" s="5">
        <v>403</v>
      </c>
      <c r="B406" s="5" t="s">
        <v>36</v>
      </c>
      <c r="C406" s="5" t="s">
        <v>38</v>
      </c>
      <c r="D406" s="5" t="str">
        <f t="shared" ref="D406:D411" si="14">"20220212002"</f>
        <v>20220212002</v>
      </c>
      <c r="E406" s="5">
        <v>1</v>
      </c>
      <c r="F406" s="5" t="s">
        <v>14</v>
      </c>
      <c r="G406" s="5" t="str">
        <f>"张臻"</f>
        <v>张臻</v>
      </c>
      <c r="H406" s="5" t="str">
        <f>"112000308"</f>
        <v>112000308</v>
      </c>
      <c r="I406" s="5">
        <v>0</v>
      </c>
      <c r="J406" s="5" t="s">
        <v>15</v>
      </c>
    </row>
    <row r="407" s="1" customFormat="1" spans="1:10">
      <c r="A407" s="5">
        <v>404</v>
      </c>
      <c r="B407" s="5" t="s">
        <v>36</v>
      </c>
      <c r="C407" s="5" t="s">
        <v>38</v>
      </c>
      <c r="D407" s="5" t="str">
        <f t="shared" si="14"/>
        <v>20220212002</v>
      </c>
      <c r="E407" s="5">
        <v>1</v>
      </c>
      <c r="F407" s="5" t="s">
        <v>14</v>
      </c>
      <c r="G407" s="5" t="str">
        <f>"李相元"</f>
        <v>李相元</v>
      </c>
      <c r="H407" s="5" t="str">
        <f>"112000401"</f>
        <v>112000401</v>
      </c>
      <c r="I407" s="5">
        <v>0</v>
      </c>
      <c r="J407" s="5" t="s">
        <v>15</v>
      </c>
    </row>
    <row r="408" s="1" customFormat="1" spans="1:10">
      <c r="A408" s="5">
        <v>405</v>
      </c>
      <c r="B408" s="5" t="s">
        <v>36</v>
      </c>
      <c r="C408" s="5" t="s">
        <v>38</v>
      </c>
      <c r="D408" s="5" t="str">
        <f t="shared" si="14"/>
        <v>20220212002</v>
      </c>
      <c r="E408" s="5">
        <v>1</v>
      </c>
      <c r="F408" s="5" t="s">
        <v>14</v>
      </c>
      <c r="G408" s="5" t="str">
        <f>"彭登辉"</f>
        <v>彭登辉</v>
      </c>
      <c r="H408" s="5" t="str">
        <f>"112000513"</f>
        <v>112000513</v>
      </c>
      <c r="I408" s="5">
        <v>0</v>
      </c>
      <c r="J408" s="5" t="s">
        <v>15</v>
      </c>
    </row>
    <row r="409" s="1" customFormat="1" spans="1:10">
      <c r="A409" s="5">
        <v>406</v>
      </c>
      <c r="B409" s="5" t="s">
        <v>36</v>
      </c>
      <c r="C409" s="5" t="s">
        <v>38</v>
      </c>
      <c r="D409" s="5" t="str">
        <f t="shared" si="14"/>
        <v>20220212002</v>
      </c>
      <c r="E409" s="5">
        <v>1</v>
      </c>
      <c r="F409" s="5" t="s">
        <v>14</v>
      </c>
      <c r="G409" s="5" t="str">
        <f>"朱正模"</f>
        <v>朱正模</v>
      </c>
      <c r="H409" s="5" t="str">
        <f>"112000805"</f>
        <v>112000805</v>
      </c>
      <c r="I409" s="5">
        <v>0</v>
      </c>
      <c r="J409" s="5" t="s">
        <v>15</v>
      </c>
    </row>
    <row r="410" s="1" customFormat="1" spans="1:10">
      <c r="A410" s="5">
        <v>407</v>
      </c>
      <c r="B410" s="5" t="s">
        <v>36</v>
      </c>
      <c r="C410" s="5" t="s">
        <v>38</v>
      </c>
      <c r="D410" s="5" t="str">
        <f t="shared" si="14"/>
        <v>20220212002</v>
      </c>
      <c r="E410" s="5">
        <v>1</v>
      </c>
      <c r="F410" s="5" t="s">
        <v>14</v>
      </c>
      <c r="G410" s="5" t="str">
        <f>"郭娅茜"</f>
        <v>郭娅茜</v>
      </c>
      <c r="H410" s="5" t="str">
        <f>"112001129"</f>
        <v>112001129</v>
      </c>
      <c r="I410" s="5">
        <v>0</v>
      </c>
      <c r="J410" s="5" t="s">
        <v>15</v>
      </c>
    </row>
    <row r="411" s="1" customFormat="1" spans="1:10">
      <c r="A411" s="5">
        <v>408</v>
      </c>
      <c r="B411" s="5" t="s">
        <v>36</v>
      </c>
      <c r="C411" s="5" t="s">
        <v>38</v>
      </c>
      <c r="D411" s="5" t="str">
        <f t="shared" si="14"/>
        <v>20220212002</v>
      </c>
      <c r="E411" s="5">
        <v>1</v>
      </c>
      <c r="F411" s="5" t="s">
        <v>14</v>
      </c>
      <c r="G411" s="5" t="str">
        <f>"李莹"</f>
        <v>李莹</v>
      </c>
      <c r="H411" s="5" t="str">
        <f>"112001812"</f>
        <v>112001812</v>
      </c>
      <c r="I411" s="5">
        <v>0</v>
      </c>
      <c r="J411" s="5" t="s">
        <v>15</v>
      </c>
    </row>
    <row r="412" s="1" customFormat="1" spans="1:10">
      <c r="A412" s="5">
        <v>409</v>
      </c>
      <c r="B412" s="5" t="s">
        <v>39</v>
      </c>
      <c r="C412" s="5" t="s">
        <v>40</v>
      </c>
      <c r="D412" s="5" t="str">
        <f t="shared" ref="D412:D421" si="15">"20220213001"</f>
        <v>20220213001</v>
      </c>
      <c r="E412" s="5">
        <v>1</v>
      </c>
      <c r="F412" s="5" t="s">
        <v>14</v>
      </c>
      <c r="G412" s="5" t="str">
        <f>"夏松"</f>
        <v>夏松</v>
      </c>
      <c r="H412" s="5" t="str">
        <f>"112001425"</f>
        <v>112001425</v>
      </c>
      <c r="I412" s="5">
        <v>90.4</v>
      </c>
      <c r="J412" s="5"/>
    </row>
    <row r="413" s="1" customFormat="1" spans="1:10">
      <c r="A413" s="5">
        <v>410</v>
      </c>
      <c r="B413" s="5" t="s">
        <v>39</v>
      </c>
      <c r="C413" s="5" t="s">
        <v>40</v>
      </c>
      <c r="D413" s="5" t="str">
        <f t="shared" si="15"/>
        <v>20220213001</v>
      </c>
      <c r="E413" s="5">
        <v>1</v>
      </c>
      <c r="F413" s="5" t="s">
        <v>14</v>
      </c>
      <c r="G413" s="5" t="str">
        <f>"陈涵"</f>
        <v>陈涵</v>
      </c>
      <c r="H413" s="5" t="str">
        <f>"112001010"</f>
        <v>112001010</v>
      </c>
      <c r="I413" s="5">
        <v>88.92</v>
      </c>
      <c r="J413" s="5"/>
    </row>
    <row r="414" s="1" customFormat="1" spans="1:10">
      <c r="A414" s="5">
        <v>411</v>
      </c>
      <c r="B414" s="5" t="s">
        <v>39</v>
      </c>
      <c r="C414" s="5" t="s">
        <v>40</v>
      </c>
      <c r="D414" s="5" t="str">
        <f t="shared" si="15"/>
        <v>20220213001</v>
      </c>
      <c r="E414" s="5">
        <v>1</v>
      </c>
      <c r="F414" s="5" t="s">
        <v>14</v>
      </c>
      <c r="G414" s="5" t="str">
        <f>"陈宇坤"</f>
        <v>陈宇坤</v>
      </c>
      <c r="H414" s="5" t="str">
        <f>"112001228"</f>
        <v>112001228</v>
      </c>
      <c r="I414" s="5">
        <v>87.44</v>
      </c>
      <c r="J414" s="5"/>
    </row>
    <row r="415" s="1" customFormat="1" spans="1:10">
      <c r="A415" s="5">
        <v>412</v>
      </c>
      <c r="B415" s="5" t="s">
        <v>39</v>
      </c>
      <c r="C415" s="5" t="s">
        <v>40</v>
      </c>
      <c r="D415" s="5" t="str">
        <f t="shared" si="15"/>
        <v>20220213001</v>
      </c>
      <c r="E415" s="5">
        <v>1</v>
      </c>
      <c r="F415" s="5" t="s">
        <v>14</v>
      </c>
      <c r="G415" s="5" t="str">
        <f>"刘壮壮"</f>
        <v>刘壮壮</v>
      </c>
      <c r="H415" s="5" t="str">
        <f>"112000310"</f>
        <v>112000310</v>
      </c>
      <c r="I415" s="5">
        <v>86.76</v>
      </c>
      <c r="J415" s="5"/>
    </row>
    <row r="416" s="1" customFormat="1" spans="1:10">
      <c r="A416" s="5">
        <v>413</v>
      </c>
      <c r="B416" s="5" t="s">
        <v>39</v>
      </c>
      <c r="C416" s="5" t="s">
        <v>40</v>
      </c>
      <c r="D416" s="5" t="str">
        <f t="shared" si="15"/>
        <v>20220213001</v>
      </c>
      <c r="E416" s="5">
        <v>1</v>
      </c>
      <c r="F416" s="5" t="s">
        <v>14</v>
      </c>
      <c r="G416" s="5" t="str">
        <f>"宋彩莉"</f>
        <v>宋彩莉</v>
      </c>
      <c r="H416" s="5" t="str">
        <f>"112001819"</f>
        <v>112001819</v>
      </c>
      <c r="I416" s="5">
        <v>82.92</v>
      </c>
      <c r="J416" s="5"/>
    </row>
    <row r="417" s="1" customFormat="1" spans="1:10">
      <c r="A417" s="5">
        <v>414</v>
      </c>
      <c r="B417" s="5" t="s">
        <v>39</v>
      </c>
      <c r="C417" s="5" t="s">
        <v>40</v>
      </c>
      <c r="D417" s="5" t="str">
        <f t="shared" si="15"/>
        <v>20220213001</v>
      </c>
      <c r="E417" s="5">
        <v>1</v>
      </c>
      <c r="F417" s="5" t="s">
        <v>14</v>
      </c>
      <c r="G417" s="5" t="str">
        <f>"卫沙沙"</f>
        <v>卫沙沙</v>
      </c>
      <c r="H417" s="5" t="str">
        <f>"112000625"</f>
        <v>112000625</v>
      </c>
      <c r="I417" s="5">
        <v>0</v>
      </c>
      <c r="J417" s="5" t="s">
        <v>15</v>
      </c>
    </row>
    <row r="418" s="1" customFormat="1" spans="1:10">
      <c r="A418" s="5">
        <v>415</v>
      </c>
      <c r="B418" s="5" t="s">
        <v>39</v>
      </c>
      <c r="C418" s="5" t="s">
        <v>40</v>
      </c>
      <c r="D418" s="5" t="str">
        <f t="shared" si="15"/>
        <v>20220213001</v>
      </c>
      <c r="E418" s="5">
        <v>1</v>
      </c>
      <c r="F418" s="5" t="s">
        <v>14</v>
      </c>
      <c r="G418" s="5" t="str">
        <f>"王琦"</f>
        <v>王琦</v>
      </c>
      <c r="H418" s="5" t="str">
        <f>"112001004"</f>
        <v>112001004</v>
      </c>
      <c r="I418" s="5">
        <v>0</v>
      </c>
      <c r="J418" s="5" t="s">
        <v>15</v>
      </c>
    </row>
    <row r="419" s="1" customFormat="1" spans="1:10">
      <c r="A419" s="5">
        <v>416</v>
      </c>
      <c r="B419" s="5" t="s">
        <v>39</v>
      </c>
      <c r="C419" s="5" t="s">
        <v>40</v>
      </c>
      <c r="D419" s="5" t="str">
        <f t="shared" si="15"/>
        <v>20220213001</v>
      </c>
      <c r="E419" s="5">
        <v>1</v>
      </c>
      <c r="F419" s="5" t="s">
        <v>14</v>
      </c>
      <c r="G419" s="5" t="str">
        <f>"严莉"</f>
        <v>严莉</v>
      </c>
      <c r="H419" s="5" t="str">
        <f>"112001005"</f>
        <v>112001005</v>
      </c>
      <c r="I419" s="5">
        <v>0</v>
      </c>
      <c r="J419" s="5" t="s">
        <v>15</v>
      </c>
    </row>
    <row r="420" s="1" customFormat="1" spans="1:10">
      <c r="A420" s="5">
        <v>417</v>
      </c>
      <c r="B420" s="5" t="s">
        <v>39</v>
      </c>
      <c r="C420" s="5" t="s">
        <v>40</v>
      </c>
      <c r="D420" s="5" t="str">
        <f t="shared" si="15"/>
        <v>20220213001</v>
      </c>
      <c r="E420" s="5">
        <v>1</v>
      </c>
      <c r="F420" s="5" t="s">
        <v>14</v>
      </c>
      <c r="G420" s="5" t="str">
        <f>"黄中华"</f>
        <v>黄中华</v>
      </c>
      <c r="H420" s="5" t="str">
        <f>"112001219"</f>
        <v>112001219</v>
      </c>
      <c r="I420" s="5">
        <v>0</v>
      </c>
      <c r="J420" s="5" t="s">
        <v>15</v>
      </c>
    </row>
    <row r="421" s="1" customFormat="1" spans="1:10">
      <c r="A421" s="5">
        <v>418</v>
      </c>
      <c r="B421" s="5" t="s">
        <v>39</v>
      </c>
      <c r="C421" s="5" t="s">
        <v>40</v>
      </c>
      <c r="D421" s="5" t="str">
        <f t="shared" si="15"/>
        <v>20220213001</v>
      </c>
      <c r="E421" s="5">
        <v>1</v>
      </c>
      <c r="F421" s="5" t="s">
        <v>14</v>
      </c>
      <c r="G421" s="5" t="str">
        <f>"彭树芳"</f>
        <v>彭树芳</v>
      </c>
      <c r="H421" s="5" t="str">
        <f>"112001824"</f>
        <v>112001824</v>
      </c>
      <c r="I421" s="5">
        <v>0</v>
      </c>
      <c r="J421" s="5" t="s">
        <v>15</v>
      </c>
    </row>
    <row r="422" s="1" customFormat="1" spans="1:10">
      <c r="A422" s="5">
        <v>419</v>
      </c>
      <c r="B422" s="5" t="s">
        <v>41</v>
      </c>
      <c r="C422" s="5" t="s">
        <v>42</v>
      </c>
      <c r="D422" s="5" t="str">
        <f>"20220214001"</f>
        <v>20220214001</v>
      </c>
      <c r="E422" s="5">
        <v>1</v>
      </c>
      <c r="F422" s="5" t="s">
        <v>14</v>
      </c>
      <c r="G422" s="5" t="str">
        <f>"程剑锋"</f>
        <v>程剑锋</v>
      </c>
      <c r="H422" s="5" t="str">
        <f>"112001212"</f>
        <v>112001212</v>
      </c>
      <c r="I422" s="5">
        <v>104.28</v>
      </c>
      <c r="J422" s="5"/>
    </row>
    <row r="423" s="1" customFormat="1" spans="1:10">
      <c r="A423" s="5">
        <v>420</v>
      </c>
      <c r="B423" s="5" t="s">
        <v>43</v>
      </c>
      <c r="C423" s="5" t="s">
        <v>44</v>
      </c>
      <c r="D423" s="5" t="str">
        <f t="shared" ref="D423:D449" si="16">"20220215001"</f>
        <v>20220215001</v>
      </c>
      <c r="E423" s="5">
        <v>1</v>
      </c>
      <c r="F423" s="5" t="s">
        <v>14</v>
      </c>
      <c r="G423" s="5" t="str">
        <f>"彭小霞"</f>
        <v>彭小霞</v>
      </c>
      <c r="H423" s="5" t="str">
        <f>"112000301"</f>
        <v>112000301</v>
      </c>
      <c r="I423" s="5">
        <v>92.96</v>
      </c>
      <c r="J423" s="5"/>
    </row>
    <row r="424" s="1" customFormat="1" spans="1:10">
      <c r="A424" s="5">
        <v>421</v>
      </c>
      <c r="B424" s="5" t="s">
        <v>43</v>
      </c>
      <c r="C424" s="5" t="s">
        <v>44</v>
      </c>
      <c r="D424" s="5" t="str">
        <f t="shared" si="16"/>
        <v>20220215001</v>
      </c>
      <c r="E424" s="5">
        <v>1</v>
      </c>
      <c r="F424" s="5" t="s">
        <v>14</v>
      </c>
      <c r="G424" s="5" t="str">
        <f>"胡安凯"</f>
        <v>胡安凯</v>
      </c>
      <c r="H424" s="5" t="str">
        <f>"112000716"</f>
        <v>112000716</v>
      </c>
      <c r="I424" s="5">
        <v>92.4</v>
      </c>
      <c r="J424" s="5"/>
    </row>
    <row r="425" s="1" customFormat="1" spans="1:10">
      <c r="A425" s="5">
        <v>422</v>
      </c>
      <c r="B425" s="5" t="s">
        <v>43</v>
      </c>
      <c r="C425" s="5" t="s">
        <v>44</v>
      </c>
      <c r="D425" s="5" t="str">
        <f t="shared" si="16"/>
        <v>20220215001</v>
      </c>
      <c r="E425" s="5">
        <v>1</v>
      </c>
      <c r="F425" s="5" t="s">
        <v>14</v>
      </c>
      <c r="G425" s="5" t="str">
        <f>"陕晨"</f>
        <v>陕晨</v>
      </c>
      <c r="H425" s="5" t="str">
        <f>"112001523"</f>
        <v>112001523</v>
      </c>
      <c r="I425" s="5">
        <v>90.76</v>
      </c>
      <c r="J425" s="5"/>
    </row>
    <row r="426" s="1" customFormat="1" spans="1:10">
      <c r="A426" s="5">
        <v>423</v>
      </c>
      <c r="B426" s="5" t="s">
        <v>43</v>
      </c>
      <c r="C426" s="5" t="s">
        <v>44</v>
      </c>
      <c r="D426" s="5" t="str">
        <f t="shared" si="16"/>
        <v>20220215001</v>
      </c>
      <c r="E426" s="5">
        <v>1</v>
      </c>
      <c r="F426" s="5" t="s">
        <v>14</v>
      </c>
      <c r="G426" s="5" t="str">
        <f>"罗时茹"</f>
        <v>罗时茹</v>
      </c>
      <c r="H426" s="5" t="str">
        <f>"112000917"</f>
        <v>112000917</v>
      </c>
      <c r="I426" s="5">
        <v>88.88</v>
      </c>
      <c r="J426" s="5"/>
    </row>
    <row r="427" s="1" customFormat="1" spans="1:10">
      <c r="A427" s="5">
        <v>424</v>
      </c>
      <c r="B427" s="5" t="s">
        <v>43</v>
      </c>
      <c r="C427" s="5" t="s">
        <v>44</v>
      </c>
      <c r="D427" s="5" t="str">
        <f t="shared" si="16"/>
        <v>20220215001</v>
      </c>
      <c r="E427" s="5">
        <v>1</v>
      </c>
      <c r="F427" s="5" t="s">
        <v>14</v>
      </c>
      <c r="G427" s="5" t="str">
        <f>"周安琪"</f>
        <v>周安琪</v>
      </c>
      <c r="H427" s="5" t="str">
        <f>"112001109"</f>
        <v>112001109</v>
      </c>
      <c r="I427" s="5">
        <v>83.88</v>
      </c>
      <c r="J427" s="5"/>
    </row>
    <row r="428" s="1" customFormat="1" spans="1:10">
      <c r="A428" s="5">
        <v>425</v>
      </c>
      <c r="B428" s="5" t="s">
        <v>43</v>
      </c>
      <c r="C428" s="5" t="s">
        <v>44</v>
      </c>
      <c r="D428" s="5" t="str">
        <f t="shared" si="16"/>
        <v>20220215001</v>
      </c>
      <c r="E428" s="5">
        <v>1</v>
      </c>
      <c r="F428" s="5" t="s">
        <v>14</v>
      </c>
      <c r="G428" s="5" t="str">
        <f>"辛昊雨"</f>
        <v>辛昊雨</v>
      </c>
      <c r="H428" s="5" t="str">
        <f>"112001028"</f>
        <v>112001028</v>
      </c>
      <c r="I428" s="5">
        <v>82.36</v>
      </c>
      <c r="J428" s="5"/>
    </row>
    <row r="429" s="1" customFormat="1" spans="1:10">
      <c r="A429" s="5">
        <v>426</v>
      </c>
      <c r="B429" s="5" t="s">
        <v>43</v>
      </c>
      <c r="C429" s="5" t="s">
        <v>44</v>
      </c>
      <c r="D429" s="5" t="str">
        <f t="shared" si="16"/>
        <v>20220215001</v>
      </c>
      <c r="E429" s="5">
        <v>1</v>
      </c>
      <c r="F429" s="5" t="s">
        <v>14</v>
      </c>
      <c r="G429" s="5" t="str">
        <f>"易超文"</f>
        <v>易超文</v>
      </c>
      <c r="H429" s="5" t="str">
        <f>"112001504"</f>
        <v>112001504</v>
      </c>
      <c r="I429" s="5">
        <v>81.68</v>
      </c>
      <c r="J429" s="5"/>
    </row>
    <row r="430" s="1" customFormat="1" spans="1:10">
      <c r="A430" s="5">
        <v>427</v>
      </c>
      <c r="B430" s="5" t="s">
        <v>43</v>
      </c>
      <c r="C430" s="5" t="s">
        <v>44</v>
      </c>
      <c r="D430" s="5" t="str">
        <f t="shared" si="16"/>
        <v>20220215001</v>
      </c>
      <c r="E430" s="5">
        <v>1</v>
      </c>
      <c r="F430" s="5" t="s">
        <v>14</v>
      </c>
      <c r="G430" s="5" t="str">
        <f>"汪群芳"</f>
        <v>汪群芳</v>
      </c>
      <c r="H430" s="5" t="str">
        <f>"112001616"</f>
        <v>112001616</v>
      </c>
      <c r="I430" s="5">
        <v>77.8</v>
      </c>
      <c r="J430" s="5"/>
    </row>
    <row r="431" s="1" customFormat="1" spans="1:10">
      <c r="A431" s="5">
        <v>428</v>
      </c>
      <c r="B431" s="5" t="s">
        <v>43</v>
      </c>
      <c r="C431" s="5" t="s">
        <v>44</v>
      </c>
      <c r="D431" s="5" t="str">
        <f t="shared" si="16"/>
        <v>20220215001</v>
      </c>
      <c r="E431" s="5">
        <v>1</v>
      </c>
      <c r="F431" s="5" t="s">
        <v>14</v>
      </c>
      <c r="G431" s="5" t="str">
        <f>"杨芝姣"</f>
        <v>杨芝姣</v>
      </c>
      <c r="H431" s="5" t="str">
        <f>"112000124"</f>
        <v>112000124</v>
      </c>
      <c r="I431" s="5">
        <v>72.24</v>
      </c>
      <c r="J431" s="5"/>
    </row>
    <row r="432" s="1" customFormat="1" spans="1:10">
      <c r="A432" s="5">
        <v>429</v>
      </c>
      <c r="B432" s="5" t="s">
        <v>43</v>
      </c>
      <c r="C432" s="5" t="s">
        <v>44</v>
      </c>
      <c r="D432" s="5" t="str">
        <f t="shared" si="16"/>
        <v>20220215001</v>
      </c>
      <c r="E432" s="5">
        <v>1</v>
      </c>
      <c r="F432" s="5" t="s">
        <v>14</v>
      </c>
      <c r="G432" s="5" t="str">
        <f>"黄一帆"</f>
        <v>黄一帆</v>
      </c>
      <c r="H432" s="5" t="str">
        <f>"112000525"</f>
        <v>112000525</v>
      </c>
      <c r="I432" s="5">
        <v>69.6</v>
      </c>
      <c r="J432" s="5"/>
    </row>
    <row r="433" s="1" customFormat="1" spans="1:10">
      <c r="A433" s="5">
        <v>430</v>
      </c>
      <c r="B433" s="5" t="s">
        <v>43</v>
      </c>
      <c r="C433" s="5" t="s">
        <v>44</v>
      </c>
      <c r="D433" s="5" t="str">
        <f t="shared" si="16"/>
        <v>20220215001</v>
      </c>
      <c r="E433" s="5">
        <v>1</v>
      </c>
      <c r="F433" s="5" t="s">
        <v>14</v>
      </c>
      <c r="G433" s="5" t="str">
        <f>"宋佳茵"</f>
        <v>宋佳茵</v>
      </c>
      <c r="H433" s="5" t="str">
        <f>"112000105"</f>
        <v>112000105</v>
      </c>
      <c r="I433" s="5">
        <v>0</v>
      </c>
      <c r="J433" s="5" t="s">
        <v>15</v>
      </c>
    </row>
    <row r="434" s="1" customFormat="1" spans="1:10">
      <c r="A434" s="5">
        <v>431</v>
      </c>
      <c r="B434" s="5" t="s">
        <v>43</v>
      </c>
      <c r="C434" s="5" t="s">
        <v>44</v>
      </c>
      <c r="D434" s="5" t="str">
        <f t="shared" si="16"/>
        <v>20220215001</v>
      </c>
      <c r="E434" s="5">
        <v>1</v>
      </c>
      <c r="F434" s="5" t="s">
        <v>14</v>
      </c>
      <c r="G434" s="5" t="str">
        <f>"汪立"</f>
        <v>汪立</v>
      </c>
      <c r="H434" s="5" t="str">
        <f>"112000122"</f>
        <v>112000122</v>
      </c>
      <c r="I434" s="5">
        <v>0</v>
      </c>
      <c r="J434" s="5" t="s">
        <v>15</v>
      </c>
    </row>
    <row r="435" s="1" customFormat="1" spans="1:10">
      <c r="A435" s="5">
        <v>432</v>
      </c>
      <c r="B435" s="5" t="s">
        <v>43</v>
      </c>
      <c r="C435" s="5" t="s">
        <v>44</v>
      </c>
      <c r="D435" s="5" t="str">
        <f t="shared" si="16"/>
        <v>20220215001</v>
      </c>
      <c r="E435" s="5">
        <v>1</v>
      </c>
      <c r="F435" s="5" t="s">
        <v>14</v>
      </c>
      <c r="G435" s="5" t="str">
        <f>"田梦媛"</f>
        <v>田梦媛</v>
      </c>
      <c r="H435" s="5" t="str">
        <f>"112000227"</f>
        <v>112000227</v>
      </c>
      <c r="I435" s="5">
        <v>0</v>
      </c>
      <c r="J435" s="5" t="s">
        <v>15</v>
      </c>
    </row>
    <row r="436" s="1" customFormat="1" spans="1:10">
      <c r="A436" s="5">
        <v>433</v>
      </c>
      <c r="B436" s="5" t="s">
        <v>43</v>
      </c>
      <c r="C436" s="5" t="s">
        <v>44</v>
      </c>
      <c r="D436" s="5" t="str">
        <f t="shared" si="16"/>
        <v>20220215001</v>
      </c>
      <c r="E436" s="5">
        <v>1</v>
      </c>
      <c r="F436" s="5" t="s">
        <v>14</v>
      </c>
      <c r="G436" s="5" t="str">
        <f>"杨琴"</f>
        <v>杨琴</v>
      </c>
      <c r="H436" s="5" t="str">
        <f>"112000403"</f>
        <v>112000403</v>
      </c>
      <c r="I436" s="5">
        <v>0</v>
      </c>
      <c r="J436" s="5" t="s">
        <v>15</v>
      </c>
    </row>
    <row r="437" s="1" customFormat="1" spans="1:10">
      <c r="A437" s="5">
        <v>434</v>
      </c>
      <c r="B437" s="5" t="s">
        <v>43</v>
      </c>
      <c r="C437" s="5" t="s">
        <v>44</v>
      </c>
      <c r="D437" s="5" t="str">
        <f t="shared" si="16"/>
        <v>20220215001</v>
      </c>
      <c r="E437" s="5">
        <v>1</v>
      </c>
      <c r="F437" s="5" t="s">
        <v>14</v>
      </c>
      <c r="G437" s="5" t="str">
        <f>"黎亚琴"</f>
        <v>黎亚琴</v>
      </c>
      <c r="H437" s="5" t="str">
        <f>"112000414"</f>
        <v>112000414</v>
      </c>
      <c r="I437" s="5">
        <v>0</v>
      </c>
      <c r="J437" s="5" t="s">
        <v>15</v>
      </c>
    </row>
    <row r="438" s="1" customFormat="1" spans="1:10">
      <c r="A438" s="5">
        <v>435</v>
      </c>
      <c r="B438" s="5" t="s">
        <v>43</v>
      </c>
      <c r="C438" s="5" t="s">
        <v>44</v>
      </c>
      <c r="D438" s="5" t="str">
        <f t="shared" si="16"/>
        <v>20220215001</v>
      </c>
      <c r="E438" s="5">
        <v>1</v>
      </c>
      <c r="F438" s="5" t="s">
        <v>14</v>
      </c>
      <c r="G438" s="5" t="str">
        <f>"陈舒萍"</f>
        <v>陈舒萍</v>
      </c>
      <c r="H438" s="5" t="str">
        <f>"112000428"</f>
        <v>112000428</v>
      </c>
      <c r="I438" s="5">
        <v>0</v>
      </c>
      <c r="J438" s="5" t="s">
        <v>15</v>
      </c>
    </row>
    <row r="439" s="1" customFormat="1" spans="1:10">
      <c r="A439" s="5">
        <v>436</v>
      </c>
      <c r="B439" s="5" t="s">
        <v>43</v>
      </c>
      <c r="C439" s="5" t="s">
        <v>44</v>
      </c>
      <c r="D439" s="5" t="str">
        <f t="shared" si="16"/>
        <v>20220215001</v>
      </c>
      <c r="E439" s="5">
        <v>1</v>
      </c>
      <c r="F439" s="5" t="s">
        <v>14</v>
      </c>
      <c r="G439" s="5" t="str">
        <f>"肖梦洁"</f>
        <v>肖梦洁</v>
      </c>
      <c r="H439" s="5" t="str">
        <f>"112000602"</f>
        <v>112000602</v>
      </c>
      <c r="I439" s="5">
        <v>0</v>
      </c>
      <c r="J439" s="5" t="s">
        <v>15</v>
      </c>
    </row>
    <row r="440" s="1" customFormat="1" spans="1:10">
      <c r="A440" s="5">
        <v>437</v>
      </c>
      <c r="B440" s="5" t="s">
        <v>43</v>
      </c>
      <c r="C440" s="5" t="s">
        <v>44</v>
      </c>
      <c r="D440" s="5" t="str">
        <f t="shared" si="16"/>
        <v>20220215001</v>
      </c>
      <c r="E440" s="5">
        <v>1</v>
      </c>
      <c r="F440" s="5" t="s">
        <v>14</v>
      </c>
      <c r="G440" s="5" t="str">
        <f>"高莉红"</f>
        <v>高莉红</v>
      </c>
      <c r="H440" s="5" t="str">
        <f>"112000711"</f>
        <v>112000711</v>
      </c>
      <c r="I440" s="5">
        <v>0</v>
      </c>
      <c r="J440" s="5" t="s">
        <v>15</v>
      </c>
    </row>
    <row r="441" s="1" customFormat="1" spans="1:10">
      <c r="A441" s="5">
        <v>438</v>
      </c>
      <c r="B441" s="5" t="s">
        <v>43</v>
      </c>
      <c r="C441" s="5" t="s">
        <v>44</v>
      </c>
      <c r="D441" s="5" t="str">
        <f t="shared" si="16"/>
        <v>20220215001</v>
      </c>
      <c r="E441" s="5">
        <v>1</v>
      </c>
      <c r="F441" s="5" t="s">
        <v>14</v>
      </c>
      <c r="G441" s="5" t="str">
        <f>"赵菡萏"</f>
        <v>赵菡萏</v>
      </c>
      <c r="H441" s="5" t="str">
        <f>"112000818"</f>
        <v>112000818</v>
      </c>
      <c r="I441" s="5">
        <v>0</v>
      </c>
      <c r="J441" s="5" t="s">
        <v>15</v>
      </c>
    </row>
    <row r="442" s="1" customFormat="1" spans="1:10">
      <c r="A442" s="5">
        <v>439</v>
      </c>
      <c r="B442" s="5" t="s">
        <v>43</v>
      </c>
      <c r="C442" s="5" t="s">
        <v>44</v>
      </c>
      <c r="D442" s="5" t="str">
        <f t="shared" si="16"/>
        <v>20220215001</v>
      </c>
      <c r="E442" s="5">
        <v>1</v>
      </c>
      <c r="F442" s="5" t="s">
        <v>14</v>
      </c>
      <c r="G442" s="5" t="str">
        <f>"朱聪"</f>
        <v>朱聪</v>
      </c>
      <c r="H442" s="5" t="str">
        <f>"112001102"</f>
        <v>112001102</v>
      </c>
      <c r="I442" s="5">
        <v>0</v>
      </c>
      <c r="J442" s="5" t="s">
        <v>15</v>
      </c>
    </row>
    <row r="443" s="1" customFormat="1" spans="1:10">
      <c r="A443" s="5">
        <v>440</v>
      </c>
      <c r="B443" s="5" t="s">
        <v>43</v>
      </c>
      <c r="C443" s="5" t="s">
        <v>44</v>
      </c>
      <c r="D443" s="5" t="str">
        <f t="shared" si="16"/>
        <v>20220215001</v>
      </c>
      <c r="E443" s="5">
        <v>1</v>
      </c>
      <c r="F443" s="5" t="s">
        <v>14</v>
      </c>
      <c r="G443" s="5" t="str">
        <f>"周郅瑄"</f>
        <v>周郅瑄</v>
      </c>
      <c r="H443" s="5" t="str">
        <f>"112001511"</f>
        <v>112001511</v>
      </c>
      <c r="I443" s="5">
        <v>0</v>
      </c>
      <c r="J443" s="5" t="s">
        <v>15</v>
      </c>
    </row>
    <row r="444" s="1" customFormat="1" spans="1:10">
      <c r="A444" s="5">
        <v>441</v>
      </c>
      <c r="B444" s="5" t="s">
        <v>43</v>
      </c>
      <c r="C444" s="5" t="s">
        <v>44</v>
      </c>
      <c r="D444" s="5" t="str">
        <f t="shared" si="16"/>
        <v>20220215001</v>
      </c>
      <c r="E444" s="5">
        <v>1</v>
      </c>
      <c r="F444" s="5" t="s">
        <v>14</v>
      </c>
      <c r="G444" s="5" t="str">
        <f>"苏春来"</f>
        <v>苏春来</v>
      </c>
      <c r="H444" s="5" t="str">
        <f>"112001521"</f>
        <v>112001521</v>
      </c>
      <c r="I444" s="5">
        <v>0</v>
      </c>
      <c r="J444" s="5" t="s">
        <v>15</v>
      </c>
    </row>
    <row r="445" s="1" customFormat="1" spans="1:10">
      <c r="A445" s="5">
        <v>442</v>
      </c>
      <c r="B445" s="5" t="s">
        <v>43</v>
      </c>
      <c r="C445" s="5" t="s">
        <v>44</v>
      </c>
      <c r="D445" s="5" t="str">
        <f t="shared" si="16"/>
        <v>20220215001</v>
      </c>
      <c r="E445" s="5">
        <v>1</v>
      </c>
      <c r="F445" s="5" t="s">
        <v>14</v>
      </c>
      <c r="G445" s="5" t="str">
        <f>"梁玥"</f>
        <v>梁玥</v>
      </c>
      <c r="H445" s="5" t="str">
        <f>"112001611"</f>
        <v>112001611</v>
      </c>
      <c r="I445" s="5">
        <v>0</v>
      </c>
      <c r="J445" s="5" t="s">
        <v>15</v>
      </c>
    </row>
    <row r="446" s="1" customFormat="1" spans="1:10">
      <c r="A446" s="5">
        <v>443</v>
      </c>
      <c r="B446" s="5" t="s">
        <v>43</v>
      </c>
      <c r="C446" s="5" t="s">
        <v>44</v>
      </c>
      <c r="D446" s="5" t="str">
        <f t="shared" si="16"/>
        <v>20220215001</v>
      </c>
      <c r="E446" s="5">
        <v>1</v>
      </c>
      <c r="F446" s="5" t="s">
        <v>14</v>
      </c>
      <c r="G446" s="5" t="str">
        <f>"聂杨帆"</f>
        <v>聂杨帆</v>
      </c>
      <c r="H446" s="5" t="str">
        <f>"112001615"</f>
        <v>112001615</v>
      </c>
      <c r="I446" s="5">
        <v>0</v>
      </c>
      <c r="J446" s="5" t="s">
        <v>15</v>
      </c>
    </row>
    <row r="447" s="1" customFormat="1" spans="1:10">
      <c r="A447" s="5">
        <v>444</v>
      </c>
      <c r="B447" s="5" t="s">
        <v>43</v>
      </c>
      <c r="C447" s="5" t="s">
        <v>44</v>
      </c>
      <c r="D447" s="5" t="str">
        <f t="shared" si="16"/>
        <v>20220215001</v>
      </c>
      <c r="E447" s="5">
        <v>1</v>
      </c>
      <c r="F447" s="5" t="s">
        <v>14</v>
      </c>
      <c r="G447" s="5" t="str">
        <f>"刘炎"</f>
        <v>刘炎</v>
      </c>
      <c r="H447" s="5" t="str">
        <f>"112001912"</f>
        <v>112001912</v>
      </c>
      <c r="I447" s="5">
        <v>0</v>
      </c>
      <c r="J447" s="5" t="s">
        <v>15</v>
      </c>
    </row>
    <row r="448" s="1" customFormat="1" spans="1:10">
      <c r="A448" s="5">
        <v>445</v>
      </c>
      <c r="B448" s="5" t="s">
        <v>43</v>
      </c>
      <c r="C448" s="5" t="s">
        <v>44</v>
      </c>
      <c r="D448" s="5" t="str">
        <f t="shared" si="16"/>
        <v>20220215001</v>
      </c>
      <c r="E448" s="5">
        <v>1</v>
      </c>
      <c r="F448" s="5" t="s">
        <v>14</v>
      </c>
      <c r="G448" s="5" t="str">
        <f>"李桃"</f>
        <v>李桃</v>
      </c>
      <c r="H448" s="5" t="str">
        <f>"112001914"</f>
        <v>112001914</v>
      </c>
      <c r="I448" s="5">
        <v>0</v>
      </c>
      <c r="J448" s="5" t="s">
        <v>15</v>
      </c>
    </row>
    <row r="449" s="1" customFormat="1" spans="1:10">
      <c r="A449" s="5">
        <v>446</v>
      </c>
      <c r="B449" s="5" t="s">
        <v>43</v>
      </c>
      <c r="C449" s="5" t="s">
        <v>44</v>
      </c>
      <c r="D449" s="5" t="str">
        <f t="shared" si="16"/>
        <v>20220215001</v>
      </c>
      <c r="E449" s="5">
        <v>1</v>
      </c>
      <c r="F449" s="5" t="s">
        <v>14</v>
      </c>
      <c r="G449" s="5" t="str">
        <f>"伍梦月"</f>
        <v>伍梦月</v>
      </c>
      <c r="H449" s="5" t="str">
        <f>"112001915"</f>
        <v>112001915</v>
      </c>
      <c r="I449" s="5">
        <v>0</v>
      </c>
      <c r="J449" s="5" t="s">
        <v>15</v>
      </c>
    </row>
    <row r="450" s="1" customFormat="1" spans="1:10">
      <c r="A450" s="5">
        <v>447</v>
      </c>
      <c r="B450" s="5" t="s">
        <v>45</v>
      </c>
      <c r="C450" s="5" t="s">
        <v>46</v>
      </c>
      <c r="D450" s="5" t="str">
        <f t="shared" ref="D450:D462" si="17">"20220216001"</f>
        <v>20220216001</v>
      </c>
      <c r="E450" s="5">
        <v>1</v>
      </c>
      <c r="F450" s="5" t="s">
        <v>14</v>
      </c>
      <c r="G450" s="5" t="str">
        <f>"关心"</f>
        <v>关心</v>
      </c>
      <c r="H450" s="5" t="str">
        <f>"112001625"</f>
        <v>112001625</v>
      </c>
      <c r="I450" s="5">
        <v>118.2</v>
      </c>
      <c r="J450" s="5"/>
    </row>
    <row r="451" s="1" customFormat="1" spans="1:10">
      <c r="A451" s="5">
        <v>448</v>
      </c>
      <c r="B451" s="5" t="s">
        <v>45</v>
      </c>
      <c r="C451" s="5" t="s">
        <v>46</v>
      </c>
      <c r="D451" s="5" t="str">
        <f t="shared" si="17"/>
        <v>20220216001</v>
      </c>
      <c r="E451" s="5">
        <v>1</v>
      </c>
      <c r="F451" s="5" t="s">
        <v>14</v>
      </c>
      <c r="G451" s="5" t="str">
        <f>"朱媛"</f>
        <v>朱媛</v>
      </c>
      <c r="H451" s="5" t="str">
        <f>"112001426"</f>
        <v>112001426</v>
      </c>
      <c r="I451" s="5">
        <v>100.96</v>
      </c>
      <c r="J451" s="5"/>
    </row>
    <row r="452" s="1" customFormat="1" spans="1:10">
      <c r="A452" s="5">
        <v>449</v>
      </c>
      <c r="B452" s="5" t="s">
        <v>45</v>
      </c>
      <c r="C452" s="5" t="s">
        <v>46</v>
      </c>
      <c r="D452" s="5" t="str">
        <f t="shared" si="17"/>
        <v>20220216001</v>
      </c>
      <c r="E452" s="5">
        <v>1</v>
      </c>
      <c r="F452" s="5" t="s">
        <v>14</v>
      </c>
      <c r="G452" s="5" t="str">
        <f>"陈正威"</f>
        <v>陈正威</v>
      </c>
      <c r="H452" s="5" t="str">
        <f>"112001925"</f>
        <v>112001925</v>
      </c>
      <c r="I452" s="5">
        <v>97.64</v>
      </c>
      <c r="J452" s="5"/>
    </row>
    <row r="453" s="1" customFormat="1" spans="1:10">
      <c r="A453" s="5">
        <v>450</v>
      </c>
      <c r="B453" s="5" t="s">
        <v>45</v>
      </c>
      <c r="C453" s="5" t="s">
        <v>46</v>
      </c>
      <c r="D453" s="5" t="str">
        <f t="shared" si="17"/>
        <v>20220216001</v>
      </c>
      <c r="E453" s="5">
        <v>1</v>
      </c>
      <c r="F453" s="5" t="s">
        <v>14</v>
      </c>
      <c r="G453" s="5" t="str">
        <f>"邹瀚祖"</f>
        <v>邹瀚祖</v>
      </c>
      <c r="H453" s="5" t="str">
        <f>"112000305"</f>
        <v>112000305</v>
      </c>
      <c r="I453" s="5">
        <v>96.32</v>
      </c>
      <c r="J453" s="5"/>
    </row>
    <row r="454" s="1" customFormat="1" spans="1:10">
      <c r="A454" s="5">
        <v>451</v>
      </c>
      <c r="B454" s="5" t="s">
        <v>45</v>
      </c>
      <c r="C454" s="5" t="s">
        <v>46</v>
      </c>
      <c r="D454" s="5" t="str">
        <f t="shared" si="17"/>
        <v>20220216001</v>
      </c>
      <c r="E454" s="5">
        <v>1</v>
      </c>
      <c r="F454" s="5" t="s">
        <v>14</v>
      </c>
      <c r="G454" s="5" t="str">
        <f>"覃思宇"</f>
        <v>覃思宇</v>
      </c>
      <c r="H454" s="5" t="str">
        <f>"112001409"</f>
        <v>112001409</v>
      </c>
      <c r="I454" s="5">
        <v>89.48</v>
      </c>
      <c r="J454" s="5"/>
    </row>
    <row r="455" s="1" customFormat="1" spans="1:10">
      <c r="A455" s="5">
        <v>452</v>
      </c>
      <c r="B455" s="5" t="s">
        <v>45</v>
      </c>
      <c r="C455" s="5" t="s">
        <v>46</v>
      </c>
      <c r="D455" s="5" t="str">
        <f t="shared" si="17"/>
        <v>20220216001</v>
      </c>
      <c r="E455" s="5">
        <v>1</v>
      </c>
      <c r="F455" s="5" t="s">
        <v>14</v>
      </c>
      <c r="G455" s="5" t="str">
        <f>"邹沁杉"</f>
        <v>邹沁杉</v>
      </c>
      <c r="H455" s="5" t="str">
        <f>"112000908"</f>
        <v>112000908</v>
      </c>
      <c r="I455" s="5">
        <v>88.6</v>
      </c>
      <c r="J455" s="5"/>
    </row>
    <row r="456" s="1" customFormat="1" spans="1:10">
      <c r="A456" s="5">
        <v>453</v>
      </c>
      <c r="B456" s="5" t="s">
        <v>45</v>
      </c>
      <c r="C456" s="5" t="s">
        <v>46</v>
      </c>
      <c r="D456" s="5" t="str">
        <f t="shared" si="17"/>
        <v>20220216001</v>
      </c>
      <c r="E456" s="5">
        <v>1</v>
      </c>
      <c r="F456" s="5" t="s">
        <v>14</v>
      </c>
      <c r="G456" s="5" t="str">
        <f>"何诗怡"</f>
        <v>何诗怡</v>
      </c>
      <c r="H456" s="5" t="str">
        <f>"112001916"</f>
        <v>112001916</v>
      </c>
      <c r="I456" s="5">
        <v>87.76</v>
      </c>
      <c r="J456" s="5"/>
    </row>
    <row r="457" s="1" customFormat="1" spans="1:10">
      <c r="A457" s="5">
        <v>454</v>
      </c>
      <c r="B457" s="5" t="s">
        <v>45</v>
      </c>
      <c r="C457" s="5" t="s">
        <v>46</v>
      </c>
      <c r="D457" s="5" t="str">
        <f t="shared" si="17"/>
        <v>20220216001</v>
      </c>
      <c r="E457" s="5">
        <v>1</v>
      </c>
      <c r="F457" s="5" t="s">
        <v>14</v>
      </c>
      <c r="G457" s="5" t="str">
        <f>"刘莉"</f>
        <v>刘莉</v>
      </c>
      <c r="H457" s="5" t="str">
        <f>"112000629"</f>
        <v>112000629</v>
      </c>
      <c r="I457" s="5">
        <v>87.16</v>
      </c>
      <c r="J457" s="5"/>
    </row>
    <row r="458" s="1" customFormat="1" spans="1:10">
      <c r="A458" s="5">
        <v>455</v>
      </c>
      <c r="B458" s="5" t="s">
        <v>45</v>
      </c>
      <c r="C458" s="5" t="s">
        <v>46</v>
      </c>
      <c r="D458" s="5" t="str">
        <f t="shared" si="17"/>
        <v>20220216001</v>
      </c>
      <c r="E458" s="5">
        <v>1</v>
      </c>
      <c r="F458" s="5" t="s">
        <v>14</v>
      </c>
      <c r="G458" s="5" t="str">
        <f>"张国柱"</f>
        <v>张国柱</v>
      </c>
      <c r="H458" s="5" t="str">
        <f>"112000101"</f>
        <v>112000101</v>
      </c>
      <c r="I458" s="5">
        <v>80.2</v>
      </c>
      <c r="J458" s="5"/>
    </row>
    <row r="459" s="1" customFormat="1" spans="1:10">
      <c r="A459" s="5">
        <v>456</v>
      </c>
      <c r="B459" s="5" t="s">
        <v>45</v>
      </c>
      <c r="C459" s="5" t="s">
        <v>46</v>
      </c>
      <c r="D459" s="5" t="str">
        <f t="shared" si="17"/>
        <v>20220216001</v>
      </c>
      <c r="E459" s="5">
        <v>1</v>
      </c>
      <c r="F459" s="5" t="s">
        <v>14</v>
      </c>
      <c r="G459" s="5" t="str">
        <f>"赵宇"</f>
        <v>赵宇</v>
      </c>
      <c r="H459" s="5" t="str">
        <f>"112000724"</f>
        <v>112000724</v>
      </c>
      <c r="I459" s="5">
        <v>72.4</v>
      </c>
      <c r="J459" s="5"/>
    </row>
    <row r="460" s="1" customFormat="1" spans="1:10">
      <c r="A460" s="5">
        <v>457</v>
      </c>
      <c r="B460" s="5" t="s">
        <v>45</v>
      </c>
      <c r="C460" s="5" t="s">
        <v>46</v>
      </c>
      <c r="D460" s="5" t="str">
        <f t="shared" si="17"/>
        <v>20220216001</v>
      </c>
      <c r="E460" s="5">
        <v>1</v>
      </c>
      <c r="F460" s="5" t="s">
        <v>14</v>
      </c>
      <c r="G460" s="5" t="str">
        <f>"胡启利"</f>
        <v>胡启利</v>
      </c>
      <c r="H460" s="5" t="str">
        <f>"112001524"</f>
        <v>112001524</v>
      </c>
      <c r="I460" s="5">
        <v>61.16</v>
      </c>
      <c r="J460" s="5"/>
    </row>
    <row r="461" s="1" customFormat="1" spans="1:10">
      <c r="A461" s="5">
        <v>458</v>
      </c>
      <c r="B461" s="5" t="s">
        <v>45</v>
      </c>
      <c r="C461" s="5" t="s">
        <v>46</v>
      </c>
      <c r="D461" s="5" t="str">
        <f t="shared" si="17"/>
        <v>20220216001</v>
      </c>
      <c r="E461" s="5">
        <v>1</v>
      </c>
      <c r="F461" s="5" t="s">
        <v>14</v>
      </c>
      <c r="G461" s="5" t="str">
        <f>"梁根瑞"</f>
        <v>梁根瑞</v>
      </c>
      <c r="H461" s="5" t="str">
        <f>"112000319"</f>
        <v>112000319</v>
      </c>
      <c r="I461" s="5">
        <v>0</v>
      </c>
      <c r="J461" s="5" t="s">
        <v>15</v>
      </c>
    </row>
    <row r="462" s="1" customFormat="1" spans="1:10">
      <c r="A462" s="5">
        <v>459</v>
      </c>
      <c r="B462" s="5" t="s">
        <v>45</v>
      </c>
      <c r="C462" s="5" t="s">
        <v>46</v>
      </c>
      <c r="D462" s="5" t="str">
        <f t="shared" si="17"/>
        <v>20220216001</v>
      </c>
      <c r="E462" s="5">
        <v>1</v>
      </c>
      <c r="F462" s="5" t="s">
        <v>14</v>
      </c>
      <c r="G462" s="5" t="str">
        <f>"白尚尚"</f>
        <v>白尚尚</v>
      </c>
      <c r="H462" s="5" t="str">
        <f>"112001909"</f>
        <v>112001909</v>
      </c>
      <c r="I462" s="5">
        <v>0</v>
      </c>
      <c r="J462" s="5" t="s">
        <v>15</v>
      </c>
    </row>
    <row r="463" s="1" customFormat="1" spans="1:10">
      <c r="A463" s="5">
        <v>460</v>
      </c>
      <c r="B463" s="5" t="s">
        <v>47</v>
      </c>
      <c r="C463" s="5" t="s">
        <v>48</v>
      </c>
      <c r="D463" s="5" t="str">
        <f t="shared" ref="D463:D485" si="18">"20220217001"</f>
        <v>20220217001</v>
      </c>
      <c r="E463" s="5">
        <v>1</v>
      </c>
      <c r="F463" s="5" t="s">
        <v>14</v>
      </c>
      <c r="G463" s="5" t="str">
        <f>"张思璨"</f>
        <v>张思璨</v>
      </c>
      <c r="H463" s="5" t="str">
        <f>"112001724"</f>
        <v>112001724</v>
      </c>
      <c r="I463" s="5">
        <v>116.44</v>
      </c>
      <c r="J463" s="5"/>
    </row>
    <row r="464" s="1" customFormat="1" spans="1:10">
      <c r="A464" s="5">
        <v>461</v>
      </c>
      <c r="B464" s="5" t="s">
        <v>47</v>
      </c>
      <c r="C464" s="5" t="s">
        <v>48</v>
      </c>
      <c r="D464" s="5" t="str">
        <f t="shared" si="18"/>
        <v>20220217001</v>
      </c>
      <c r="E464" s="5">
        <v>1</v>
      </c>
      <c r="F464" s="5" t="s">
        <v>14</v>
      </c>
      <c r="G464" s="5" t="str">
        <f>"江吉华"</f>
        <v>江吉华</v>
      </c>
      <c r="H464" s="5" t="str">
        <f>"112000419"</f>
        <v>112000419</v>
      </c>
      <c r="I464" s="5">
        <v>110.88</v>
      </c>
      <c r="J464" s="5"/>
    </row>
    <row r="465" s="1" customFormat="1" spans="1:10">
      <c r="A465" s="5">
        <v>462</v>
      </c>
      <c r="B465" s="5" t="s">
        <v>47</v>
      </c>
      <c r="C465" s="5" t="s">
        <v>48</v>
      </c>
      <c r="D465" s="5" t="str">
        <f t="shared" si="18"/>
        <v>20220217001</v>
      </c>
      <c r="E465" s="5">
        <v>1</v>
      </c>
      <c r="F465" s="5" t="s">
        <v>14</v>
      </c>
      <c r="G465" s="5" t="str">
        <f>"陈可"</f>
        <v>陈可</v>
      </c>
      <c r="H465" s="5" t="str">
        <f>"112000501"</f>
        <v>112000501</v>
      </c>
      <c r="I465" s="5">
        <v>102.6</v>
      </c>
      <c r="J465" s="5"/>
    </row>
    <row r="466" s="1" customFormat="1" spans="1:10">
      <c r="A466" s="5">
        <v>463</v>
      </c>
      <c r="B466" s="5" t="s">
        <v>47</v>
      </c>
      <c r="C466" s="5" t="s">
        <v>48</v>
      </c>
      <c r="D466" s="5" t="str">
        <f t="shared" si="18"/>
        <v>20220217001</v>
      </c>
      <c r="E466" s="5">
        <v>1</v>
      </c>
      <c r="F466" s="5" t="s">
        <v>14</v>
      </c>
      <c r="G466" s="5" t="str">
        <f>"熊鹰"</f>
        <v>熊鹰</v>
      </c>
      <c r="H466" s="5" t="str">
        <f>"112001218"</f>
        <v>112001218</v>
      </c>
      <c r="I466" s="5">
        <v>97.8</v>
      </c>
      <c r="J466" s="5"/>
    </row>
    <row r="467" s="1" customFormat="1" spans="1:10">
      <c r="A467" s="5">
        <v>464</v>
      </c>
      <c r="B467" s="5" t="s">
        <v>47</v>
      </c>
      <c r="C467" s="5" t="s">
        <v>48</v>
      </c>
      <c r="D467" s="5" t="str">
        <f t="shared" si="18"/>
        <v>20220217001</v>
      </c>
      <c r="E467" s="5">
        <v>1</v>
      </c>
      <c r="F467" s="5" t="s">
        <v>14</v>
      </c>
      <c r="G467" s="5" t="str">
        <f>"陈雪"</f>
        <v>陈雪</v>
      </c>
      <c r="H467" s="5" t="str">
        <f>"112000408"</f>
        <v>112000408</v>
      </c>
      <c r="I467" s="5">
        <v>94.48</v>
      </c>
      <c r="J467" s="5"/>
    </row>
    <row r="468" s="1" customFormat="1" spans="1:10">
      <c r="A468" s="5">
        <v>465</v>
      </c>
      <c r="B468" s="5" t="s">
        <v>47</v>
      </c>
      <c r="C468" s="5" t="s">
        <v>48</v>
      </c>
      <c r="D468" s="5" t="str">
        <f t="shared" si="18"/>
        <v>20220217001</v>
      </c>
      <c r="E468" s="5">
        <v>1</v>
      </c>
      <c r="F468" s="5" t="s">
        <v>14</v>
      </c>
      <c r="G468" s="5" t="str">
        <f>"简英"</f>
        <v>简英</v>
      </c>
      <c r="H468" s="5" t="str">
        <f>"112001418"</f>
        <v>112001418</v>
      </c>
      <c r="I468" s="5">
        <v>93.96</v>
      </c>
      <c r="J468" s="5"/>
    </row>
    <row r="469" s="1" customFormat="1" spans="1:10">
      <c r="A469" s="5">
        <v>466</v>
      </c>
      <c r="B469" s="5" t="s">
        <v>47</v>
      </c>
      <c r="C469" s="5" t="s">
        <v>48</v>
      </c>
      <c r="D469" s="5" t="str">
        <f t="shared" si="18"/>
        <v>20220217001</v>
      </c>
      <c r="E469" s="5">
        <v>1</v>
      </c>
      <c r="F469" s="5" t="s">
        <v>14</v>
      </c>
      <c r="G469" s="5" t="str">
        <f>"杨舒婷"</f>
        <v>杨舒婷</v>
      </c>
      <c r="H469" s="5" t="str">
        <f>"112001308"</f>
        <v>112001308</v>
      </c>
      <c r="I469" s="5">
        <v>91.48</v>
      </c>
      <c r="J469" s="5"/>
    </row>
    <row r="470" s="1" customFormat="1" spans="1:10">
      <c r="A470" s="5">
        <v>467</v>
      </c>
      <c r="B470" s="5" t="s">
        <v>47</v>
      </c>
      <c r="C470" s="5" t="s">
        <v>48</v>
      </c>
      <c r="D470" s="5" t="str">
        <f t="shared" si="18"/>
        <v>20220217001</v>
      </c>
      <c r="E470" s="5">
        <v>1</v>
      </c>
      <c r="F470" s="5" t="s">
        <v>14</v>
      </c>
      <c r="G470" s="5" t="str">
        <f>"昌盛"</f>
        <v>昌盛</v>
      </c>
      <c r="H470" s="5" t="str">
        <f>"112001303"</f>
        <v>112001303</v>
      </c>
      <c r="I470" s="5">
        <v>80</v>
      </c>
      <c r="J470" s="5"/>
    </row>
    <row r="471" s="1" customFormat="1" spans="1:10">
      <c r="A471" s="5">
        <v>468</v>
      </c>
      <c r="B471" s="5" t="s">
        <v>47</v>
      </c>
      <c r="C471" s="5" t="s">
        <v>48</v>
      </c>
      <c r="D471" s="5" t="str">
        <f t="shared" si="18"/>
        <v>20220217001</v>
      </c>
      <c r="E471" s="5">
        <v>1</v>
      </c>
      <c r="F471" s="5" t="s">
        <v>14</v>
      </c>
      <c r="G471" s="5" t="str">
        <f>"刘书婷"</f>
        <v>刘书婷</v>
      </c>
      <c r="H471" s="5" t="str">
        <f>"112001220"</f>
        <v>112001220</v>
      </c>
      <c r="I471" s="5">
        <v>79.12</v>
      </c>
      <c r="J471" s="5"/>
    </row>
    <row r="472" s="1" customFormat="1" spans="1:10">
      <c r="A472" s="5">
        <v>469</v>
      </c>
      <c r="B472" s="5" t="s">
        <v>47</v>
      </c>
      <c r="C472" s="5" t="s">
        <v>48</v>
      </c>
      <c r="D472" s="5" t="str">
        <f t="shared" si="18"/>
        <v>20220217001</v>
      </c>
      <c r="E472" s="5">
        <v>1</v>
      </c>
      <c r="F472" s="5" t="s">
        <v>14</v>
      </c>
      <c r="G472" s="5" t="str">
        <f>"邓欣"</f>
        <v>邓欣</v>
      </c>
      <c r="H472" s="5" t="str">
        <f>"112000604"</f>
        <v>112000604</v>
      </c>
      <c r="I472" s="5">
        <v>77.72</v>
      </c>
      <c r="J472" s="5"/>
    </row>
    <row r="473" s="1" customFormat="1" spans="1:10">
      <c r="A473" s="5">
        <v>470</v>
      </c>
      <c r="B473" s="5" t="s">
        <v>47</v>
      </c>
      <c r="C473" s="5" t="s">
        <v>48</v>
      </c>
      <c r="D473" s="5" t="str">
        <f t="shared" si="18"/>
        <v>20220217001</v>
      </c>
      <c r="E473" s="5">
        <v>1</v>
      </c>
      <c r="F473" s="5" t="s">
        <v>14</v>
      </c>
      <c r="G473" s="5" t="str">
        <f>"胡聪"</f>
        <v>胡聪</v>
      </c>
      <c r="H473" s="5" t="str">
        <f>"112000121"</f>
        <v>112000121</v>
      </c>
      <c r="I473" s="5">
        <v>0</v>
      </c>
      <c r="J473" s="5" t="s">
        <v>15</v>
      </c>
    </row>
    <row r="474" s="1" customFormat="1" spans="1:10">
      <c r="A474" s="5">
        <v>471</v>
      </c>
      <c r="B474" s="5" t="s">
        <v>47</v>
      </c>
      <c r="C474" s="5" t="s">
        <v>48</v>
      </c>
      <c r="D474" s="5" t="str">
        <f t="shared" si="18"/>
        <v>20220217001</v>
      </c>
      <c r="E474" s="5">
        <v>1</v>
      </c>
      <c r="F474" s="5" t="s">
        <v>14</v>
      </c>
      <c r="G474" s="5" t="str">
        <f>"王怡莲"</f>
        <v>王怡莲</v>
      </c>
      <c r="H474" s="5" t="str">
        <f>"112000421"</f>
        <v>112000421</v>
      </c>
      <c r="I474" s="5">
        <v>0</v>
      </c>
      <c r="J474" s="5" t="s">
        <v>15</v>
      </c>
    </row>
    <row r="475" s="1" customFormat="1" spans="1:10">
      <c r="A475" s="5">
        <v>472</v>
      </c>
      <c r="B475" s="5" t="s">
        <v>47</v>
      </c>
      <c r="C475" s="5" t="s">
        <v>48</v>
      </c>
      <c r="D475" s="5" t="str">
        <f t="shared" si="18"/>
        <v>20220217001</v>
      </c>
      <c r="E475" s="5">
        <v>1</v>
      </c>
      <c r="F475" s="5" t="s">
        <v>14</v>
      </c>
      <c r="G475" s="5" t="str">
        <f>"余晨辉"</f>
        <v>余晨辉</v>
      </c>
      <c r="H475" s="5" t="str">
        <f>"112000518"</f>
        <v>112000518</v>
      </c>
      <c r="I475" s="5">
        <v>0</v>
      </c>
      <c r="J475" s="5" t="s">
        <v>15</v>
      </c>
    </row>
    <row r="476" s="1" customFormat="1" spans="1:10">
      <c r="A476" s="5">
        <v>473</v>
      </c>
      <c r="B476" s="5" t="s">
        <v>47</v>
      </c>
      <c r="C476" s="5" t="s">
        <v>48</v>
      </c>
      <c r="D476" s="5" t="str">
        <f t="shared" si="18"/>
        <v>20220217001</v>
      </c>
      <c r="E476" s="5">
        <v>1</v>
      </c>
      <c r="F476" s="5" t="s">
        <v>14</v>
      </c>
      <c r="G476" s="5" t="str">
        <f>"吴天航"</f>
        <v>吴天航</v>
      </c>
      <c r="H476" s="5" t="str">
        <f>"112000521"</f>
        <v>112000521</v>
      </c>
      <c r="I476" s="5">
        <v>0</v>
      </c>
      <c r="J476" s="5" t="s">
        <v>15</v>
      </c>
    </row>
    <row r="477" s="1" customFormat="1" spans="1:10">
      <c r="A477" s="5">
        <v>474</v>
      </c>
      <c r="B477" s="5" t="s">
        <v>47</v>
      </c>
      <c r="C477" s="5" t="s">
        <v>48</v>
      </c>
      <c r="D477" s="5" t="str">
        <f t="shared" si="18"/>
        <v>20220217001</v>
      </c>
      <c r="E477" s="5">
        <v>1</v>
      </c>
      <c r="F477" s="5" t="s">
        <v>14</v>
      </c>
      <c r="G477" s="5" t="str">
        <f>"李滕"</f>
        <v>李滕</v>
      </c>
      <c r="H477" s="5" t="str">
        <f>"112000524"</f>
        <v>112000524</v>
      </c>
      <c r="I477" s="5">
        <v>0</v>
      </c>
      <c r="J477" s="5" t="s">
        <v>15</v>
      </c>
    </row>
    <row r="478" s="1" customFormat="1" spans="1:10">
      <c r="A478" s="5">
        <v>475</v>
      </c>
      <c r="B478" s="5" t="s">
        <v>47</v>
      </c>
      <c r="C478" s="5" t="s">
        <v>48</v>
      </c>
      <c r="D478" s="5" t="str">
        <f t="shared" si="18"/>
        <v>20220217001</v>
      </c>
      <c r="E478" s="5">
        <v>1</v>
      </c>
      <c r="F478" s="5" t="s">
        <v>14</v>
      </c>
      <c r="G478" s="5" t="str">
        <f>"余祥"</f>
        <v>余祥</v>
      </c>
      <c r="H478" s="5" t="str">
        <f>"112000717"</f>
        <v>112000717</v>
      </c>
      <c r="I478" s="5">
        <v>0</v>
      </c>
      <c r="J478" s="5" t="s">
        <v>15</v>
      </c>
    </row>
    <row r="479" s="1" customFormat="1" spans="1:10">
      <c r="A479" s="5">
        <v>476</v>
      </c>
      <c r="B479" s="5" t="s">
        <v>47</v>
      </c>
      <c r="C479" s="5" t="s">
        <v>48</v>
      </c>
      <c r="D479" s="5" t="str">
        <f t="shared" si="18"/>
        <v>20220217001</v>
      </c>
      <c r="E479" s="5">
        <v>1</v>
      </c>
      <c r="F479" s="5" t="s">
        <v>14</v>
      </c>
      <c r="G479" s="5" t="str">
        <f>"姚佳黛"</f>
        <v>姚佳黛</v>
      </c>
      <c r="H479" s="5" t="str">
        <f>"112000718"</f>
        <v>112000718</v>
      </c>
      <c r="I479" s="5">
        <v>0</v>
      </c>
      <c r="J479" s="5" t="s">
        <v>15</v>
      </c>
    </row>
    <row r="480" s="1" customFormat="1" spans="1:10">
      <c r="A480" s="5">
        <v>477</v>
      </c>
      <c r="B480" s="5" t="s">
        <v>47</v>
      </c>
      <c r="C480" s="5" t="s">
        <v>48</v>
      </c>
      <c r="D480" s="5" t="str">
        <f t="shared" si="18"/>
        <v>20220217001</v>
      </c>
      <c r="E480" s="5">
        <v>1</v>
      </c>
      <c r="F480" s="5" t="s">
        <v>14</v>
      </c>
      <c r="G480" s="5" t="str">
        <f>"易鸣"</f>
        <v>易鸣</v>
      </c>
      <c r="H480" s="5" t="str">
        <f>"112000826"</f>
        <v>112000826</v>
      </c>
      <c r="I480" s="5">
        <v>0</v>
      </c>
      <c r="J480" s="5" t="s">
        <v>15</v>
      </c>
    </row>
    <row r="481" s="1" customFormat="1" spans="1:10">
      <c r="A481" s="5">
        <v>478</v>
      </c>
      <c r="B481" s="5" t="s">
        <v>47</v>
      </c>
      <c r="C481" s="5" t="s">
        <v>48</v>
      </c>
      <c r="D481" s="5" t="str">
        <f t="shared" si="18"/>
        <v>20220217001</v>
      </c>
      <c r="E481" s="5">
        <v>1</v>
      </c>
      <c r="F481" s="5" t="s">
        <v>14</v>
      </c>
      <c r="G481" s="5" t="str">
        <f>"雷豪"</f>
        <v>雷豪</v>
      </c>
      <c r="H481" s="5" t="str">
        <f>"112001003"</f>
        <v>112001003</v>
      </c>
      <c r="I481" s="5">
        <v>0</v>
      </c>
      <c r="J481" s="5" t="s">
        <v>15</v>
      </c>
    </row>
    <row r="482" s="1" customFormat="1" spans="1:10">
      <c r="A482" s="5">
        <v>479</v>
      </c>
      <c r="B482" s="5" t="s">
        <v>47</v>
      </c>
      <c r="C482" s="5" t="s">
        <v>48</v>
      </c>
      <c r="D482" s="5" t="str">
        <f t="shared" si="18"/>
        <v>20220217001</v>
      </c>
      <c r="E482" s="5">
        <v>1</v>
      </c>
      <c r="F482" s="5" t="s">
        <v>14</v>
      </c>
      <c r="G482" s="5" t="str">
        <f>"周芮旭"</f>
        <v>周芮旭</v>
      </c>
      <c r="H482" s="5" t="str">
        <f>"112001412"</f>
        <v>112001412</v>
      </c>
      <c r="I482" s="5">
        <v>0</v>
      </c>
      <c r="J482" s="5" t="s">
        <v>15</v>
      </c>
    </row>
    <row r="483" s="1" customFormat="1" spans="1:10">
      <c r="A483" s="5">
        <v>480</v>
      </c>
      <c r="B483" s="5" t="s">
        <v>47</v>
      </c>
      <c r="C483" s="5" t="s">
        <v>48</v>
      </c>
      <c r="D483" s="5" t="str">
        <f t="shared" si="18"/>
        <v>20220217001</v>
      </c>
      <c r="E483" s="5">
        <v>1</v>
      </c>
      <c r="F483" s="5" t="s">
        <v>14</v>
      </c>
      <c r="G483" s="5" t="str">
        <f>"史珂"</f>
        <v>史珂</v>
      </c>
      <c r="H483" s="5" t="str">
        <f>"112001420"</f>
        <v>112001420</v>
      </c>
      <c r="I483" s="5">
        <v>0</v>
      </c>
      <c r="J483" s="5" t="s">
        <v>15</v>
      </c>
    </row>
    <row r="484" s="1" customFormat="1" spans="1:10">
      <c r="A484" s="5">
        <v>481</v>
      </c>
      <c r="B484" s="5" t="s">
        <v>47</v>
      </c>
      <c r="C484" s="5" t="s">
        <v>48</v>
      </c>
      <c r="D484" s="5" t="str">
        <f t="shared" si="18"/>
        <v>20220217001</v>
      </c>
      <c r="E484" s="5">
        <v>1</v>
      </c>
      <c r="F484" s="5" t="s">
        <v>14</v>
      </c>
      <c r="G484" s="5" t="str">
        <f>"周银芳"</f>
        <v>周银芳</v>
      </c>
      <c r="H484" s="5" t="str">
        <f>"112001620"</f>
        <v>112001620</v>
      </c>
      <c r="I484" s="5">
        <v>0</v>
      </c>
      <c r="J484" s="5" t="s">
        <v>15</v>
      </c>
    </row>
    <row r="485" s="1" customFormat="1" spans="1:10">
      <c r="A485" s="5">
        <v>482</v>
      </c>
      <c r="B485" s="5" t="s">
        <v>47</v>
      </c>
      <c r="C485" s="5" t="s">
        <v>48</v>
      </c>
      <c r="D485" s="5" t="str">
        <f t="shared" si="18"/>
        <v>20220217001</v>
      </c>
      <c r="E485" s="5">
        <v>1</v>
      </c>
      <c r="F485" s="5" t="s">
        <v>14</v>
      </c>
      <c r="G485" s="5" t="str">
        <f>"张鑫瑜"</f>
        <v>张鑫瑜</v>
      </c>
      <c r="H485" s="5" t="str">
        <f>"112001828"</f>
        <v>112001828</v>
      </c>
      <c r="I485" s="5">
        <v>0</v>
      </c>
      <c r="J485" s="5" t="s">
        <v>15</v>
      </c>
    </row>
    <row r="486" s="1" customFormat="1" spans="1:10">
      <c r="A486" s="5">
        <v>483</v>
      </c>
      <c r="B486" s="5" t="s">
        <v>49</v>
      </c>
      <c r="C486" s="5" t="s">
        <v>50</v>
      </c>
      <c r="D486" s="5" t="str">
        <f t="shared" ref="D486:D509" si="19">"20220218001"</f>
        <v>20220218001</v>
      </c>
      <c r="E486" s="5">
        <v>1</v>
      </c>
      <c r="F486" s="5" t="s">
        <v>14</v>
      </c>
      <c r="G486" s="5" t="str">
        <f>"刘昕"</f>
        <v>刘昕</v>
      </c>
      <c r="H486" s="5" t="str">
        <f>"112001520"</f>
        <v>112001520</v>
      </c>
      <c r="I486" s="5">
        <v>104.72</v>
      </c>
      <c r="J486" s="5"/>
    </row>
    <row r="487" s="1" customFormat="1" spans="1:10">
      <c r="A487" s="5">
        <v>484</v>
      </c>
      <c r="B487" s="5" t="s">
        <v>49</v>
      </c>
      <c r="C487" s="5" t="s">
        <v>50</v>
      </c>
      <c r="D487" s="5" t="str">
        <f t="shared" si="19"/>
        <v>20220218001</v>
      </c>
      <c r="E487" s="5">
        <v>1</v>
      </c>
      <c r="F487" s="5" t="s">
        <v>14</v>
      </c>
      <c r="G487" s="5" t="str">
        <f>"张鑫"</f>
        <v>张鑫</v>
      </c>
      <c r="H487" s="5" t="str">
        <f>"112001002"</f>
        <v>112001002</v>
      </c>
      <c r="I487" s="5">
        <v>100.56</v>
      </c>
      <c r="J487" s="5"/>
    </row>
    <row r="488" s="1" customFormat="1" spans="1:10">
      <c r="A488" s="5">
        <v>485</v>
      </c>
      <c r="B488" s="5" t="s">
        <v>49</v>
      </c>
      <c r="C488" s="5" t="s">
        <v>50</v>
      </c>
      <c r="D488" s="5" t="str">
        <f t="shared" si="19"/>
        <v>20220218001</v>
      </c>
      <c r="E488" s="5">
        <v>1</v>
      </c>
      <c r="F488" s="5" t="s">
        <v>14</v>
      </c>
      <c r="G488" s="5" t="str">
        <f>"李燕丽"</f>
        <v>李燕丽</v>
      </c>
      <c r="H488" s="5" t="str">
        <f>"112001709"</f>
        <v>112001709</v>
      </c>
      <c r="I488" s="5">
        <v>97.2</v>
      </c>
      <c r="J488" s="5"/>
    </row>
    <row r="489" s="1" customFormat="1" spans="1:10">
      <c r="A489" s="5">
        <v>486</v>
      </c>
      <c r="B489" s="5" t="s">
        <v>49</v>
      </c>
      <c r="C489" s="5" t="s">
        <v>50</v>
      </c>
      <c r="D489" s="5" t="str">
        <f t="shared" si="19"/>
        <v>20220218001</v>
      </c>
      <c r="E489" s="5">
        <v>1</v>
      </c>
      <c r="F489" s="5" t="s">
        <v>14</v>
      </c>
      <c r="G489" s="5" t="str">
        <f>"邓逸飞"</f>
        <v>邓逸飞</v>
      </c>
      <c r="H489" s="5" t="str">
        <f>"112001318"</f>
        <v>112001318</v>
      </c>
      <c r="I489" s="5">
        <v>94.88</v>
      </c>
      <c r="J489" s="5"/>
    </row>
    <row r="490" s="1" customFormat="1" spans="1:10">
      <c r="A490" s="5">
        <v>487</v>
      </c>
      <c r="B490" s="5" t="s">
        <v>49</v>
      </c>
      <c r="C490" s="5" t="s">
        <v>50</v>
      </c>
      <c r="D490" s="5" t="str">
        <f t="shared" si="19"/>
        <v>20220218001</v>
      </c>
      <c r="E490" s="5">
        <v>1</v>
      </c>
      <c r="F490" s="5" t="s">
        <v>14</v>
      </c>
      <c r="G490" s="5" t="str">
        <f>"郑玉洁"</f>
        <v>郑玉洁</v>
      </c>
      <c r="H490" s="5" t="str">
        <f>"112001207"</f>
        <v>112001207</v>
      </c>
      <c r="I490" s="5">
        <v>87.44</v>
      </c>
      <c r="J490" s="5"/>
    </row>
    <row r="491" s="1" customFormat="1" spans="1:10">
      <c r="A491" s="5">
        <v>488</v>
      </c>
      <c r="B491" s="5" t="s">
        <v>49</v>
      </c>
      <c r="C491" s="5" t="s">
        <v>50</v>
      </c>
      <c r="D491" s="5" t="str">
        <f t="shared" si="19"/>
        <v>20220218001</v>
      </c>
      <c r="E491" s="5">
        <v>1</v>
      </c>
      <c r="F491" s="5" t="s">
        <v>14</v>
      </c>
      <c r="G491" s="5" t="str">
        <f>"戴白璐"</f>
        <v>戴白璐</v>
      </c>
      <c r="H491" s="5" t="str">
        <f>"112001518"</f>
        <v>112001518</v>
      </c>
      <c r="I491" s="5">
        <v>86.52</v>
      </c>
      <c r="J491" s="5"/>
    </row>
    <row r="492" s="1" customFormat="1" spans="1:10">
      <c r="A492" s="5">
        <v>489</v>
      </c>
      <c r="B492" s="5" t="s">
        <v>49</v>
      </c>
      <c r="C492" s="5" t="s">
        <v>50</v>
      </c>
      <c r="D492" s="5" t="str">
        <f t="shared" si="19"/>
        <v>20220218001</v>
      </c>
      <c r="E492" s="5">
        <v>1</v>
      </c>
      <c r="F492" s="5" t="s">
        <v>14</v>
      </c>
      <c r="G492" s="5" t="str">
        <f>"向佳文"</f>
        <v>向佳文</v>
      </c>
      <c r="H492" s="5" t="str">
        <f>"112001013"</f>
        <v>112001013</v>
      </c>
      <c r="I492" s="5">
        <v>85.2</v>
      </c>
      <c r="J492" s="5"/>
    </row>
    <row r="493" s="1" customFormat="1" spans="1:10">
      <c r="A493" s="5">
        <v>490</v>
      </c>
      <c r="B493" s="5" t="s">
        <v>49</v>
      </c>
      <c r="C493" s="5" t="s">
        <v>50</v>
      </c>
      <c r="D493" s="5" t="str">
        <f t="shared" si="19"/>
        <v>20220218001</v>
      </c>
      <c r="E493" s="5">
        <v>1</v>
      </c>
      <c r="F493" s="5" t="s">
        <v>14</v>
      </c>
      <c r="G493" s="5" t="str">
        <f>"罗依"</f>
        <v>罗依</v>
      </c>
      <c r="H493" s="5" t="str">
        <f>"112001622"</f>
        <v>112001622</v>
      </c>
      <c r="I493" s="5">
        <v>84.44</v>
      </c>
      <c r="J493" s="5"/>
    </row>
    <row r="494" s="1" customFormat="1" spans="1:10">
      <c r="A494" s="5">
        <v>491</v>
      </c>
      <c r="B494" s="5" t="s">
        <v>49</v>
      </c>
      <c r="C494" s="5" t="s">
        <v>50</v>
      </c>
      <c r="D494" s="5" t="str">
        <f t="shared" si="19"/>
        <v>20220218001</v>
      </c>
      <c r="E494" s="5">
        <v>1</v>
      </c>
      <c r="F494" s="5" t="s">
        <v>14</v>
      </c>
      <c r="G494" s="5" t="str">
        <f>"陈俊婷"</f>
        <v>陈俊婷</v>
      </c>
      <c r="H494" s="5" t="str">
        <f>"112000321"</f>
        <v>112000321</v>
      </c>
      <c r="I494" s="5">
        <v>79.84</v>
      </c>
      <c r="J494" s="5"/>
    </row>
    <row r="495" s="1" customFormat="1" spans="1:10">
      <c r="A495" s="5">
        <v>492</v>
      </c>
      <c r="B495" s="5" t="s">
        <v>49</v>
      </c>
      <c r="C495" s="5" t="s">
        <v>50</v>
      </c>
      <c r="D495" s="5" t="str">
        <f t="shared" si="19"/>
        <v>20220218001</v>
      </c>
      <c r="E495" s="5">
        <v>1</v>
      </c>
      <c r="F495" s="5" t="s">
        <v>14</v>
      </c>
      <c r="G495" s="5" t="str">
        <f>"伍梦婷"</f>
        <v>伍梦婷</v>
      </c>
      <c r="H495" s="5" t="str">
        <f>"112001222"</f>
        <v>112001222</v>
      </c>
      <c r="I495" s="5">
        <v>77.8</v>
      </c>
      <c r="J495" s="5"/>
    </row>
    <row r="496" s="1" customFormat="1" spans="1:10">
      <c r="A496" s="5">
        <v>493</v>
      </c>
      <c r="B496" s="5" t="s">
        <v>49</v>
      </c>
      <c r="C496" s="5" t="s">
        <v>50</v>
      </c>
      <c r="D496" s="5" t="str">
        <f t="shared" si="19"/>
        <v>20220218001</v>
      </c>
      <c r="E496" s="5">
        <v>1</v>
      </c>
      <c r="F496" s="5" t="s">
        <v>14</v>
      </c>
      <c r="G496" s="5" t="str">
        <f>"雷关洁"</f>
        <v>雷关洁</v>
      </c>
      <c r="H496" s="5" t="str">
        <f>"112001509"</f>
        <v>112001509</v>
      </c>
      <c r="I496" s="5">
        <v>69.88</v>
      </c>
      <c r="J496" s="5"/>
    </row>
    <row r="497" s="1" customFormat="1" spans="1:10">
      <c r="A497" s="5">
        <v>494</v>
      </c>
      <c r="B497" s="5" t="s">
        <v>49</v>
      </c>
      <c r="C497" s="5" t="s">
        <v>50</v>
      </c>
      <c r="D497" s="5" t="str">
        <f t="shared" si="19"/>
        <v>20220218001</v>
      </c>
      <c r="E497" s="5">
        <v>1</v>
      </c>
      <c r="F497" s="5" t="s">
        <v>14</v>
      </c>
      <c r="G497" s="5" t="str">
        <f>"石玲玲"</f>
        <v>石玲玲</v>
      </c>
      <c r="H497" s="5" t="str">
        <f>"112001001"</f>
        <v>112001001</v>
      </c>
      <c r="I497" s="5">
        <v>68.36</v>
      </c>
      <c r="J497" s="5"/>
    </row>
    <row r="498" s="1" customFormat="1" spans="1:10">
      <c r="A498" s="5">
        <v>495</v>
      </c>
      <c r="B498" s="5" t="s">
        <v>49</v>
      </c>
      <c r="C498" s="5" t="s">
        <v>50</v>
      </c>
      <c r="D498" s="5" t="str">
        <f t="shared" si="19"/>
        <v>20220218001</v>
      </c>
      <c r="E498" s="5">
        <v>1</v>
      </c>
      <c r="F498" s="5" t="s">
        <v>14</v>
      </c>
      <c r="G498" s="5" t="str">
        <f>"牛首泽"</f>
        <v>牛首泽</v>
      </c>
      <c r="H498" s="5" t="str">
        <f>"112001614"</f>
        <v>112001614</v>
      </c>
      <c r="I498" s="5">
        <v>67.08</v>
      </c>
      <c r="J498" s="5"/>
    </row>
    <row r="499" s="1" customFormat="1" spans="1:10">
      <c r="A499" s="5">
        <v>496</v>
      </c>
      <c r="B499" s="5" t="s">
        <v>49</v>
      </c>
      <c r="C499" s="5" t="s">
        <v>50</v>
      </c>
      <c r="D499" s="5" t="str">
        <f t="shared" si="19"/>
        <v>20220218001</v>
      </c>
      <c r="E499" s="5">
        <v>1</v>
      </c>
      <c r="F499" s="5" t="s">
        <v>14</v>
      </c>
      <c r="G499" s="5" t="str">
        <f>"陶若男"</f>
        <v>陶若男</v>
      </c>
      <c r="H499" s="5" t="str">
        <f>"112001112"</f>
        <v>112001112</v>
      </c>
      <c r="I499" s="5">
        <v>60.44</v>
      </c>
      <c r="J499" s="5"/>
    </row>
    <row r="500" s="1" customFormat="1" spans="1:10">
      <c r="A500" s="5">
        <v>497</v>
      </c>
      <c r="B500" s="5" t="s">
        <v>49</v>
      </c>
      <c r="C500" s="5" t="s">
        <v>50</v>
      </c>
      <c r="D500" s="5" t="str">
        <f t="shared" si="19"/>
        <v>20220218001</v>
      </c>
      <c r="E500" s="5">
        <v>1</v>
      </c>
      <c r="F500" s="5" t="s">
        <v>14</v>
      </c>
      <c r="G500" s="5" t="str">
        <f>"邓丹丹"</f>
        <v>邓丹丹</v>
      </c>
      <c r="H500" s="5" t="str">
        <f>"112000404"</f>
        <v>112000404</v>
      </c>
      <c r="I500" s="5">
        <v>0</v>
      </c>
      <c r="J500" s="5" t="s">
        <v>15</v>
      </c>
    </row>
    <row r="501" s="1" customFormat="1" spans="1:10">
      <c r="A501" s="5">
        <v>498</v>
      </c>
      <c r="B501" s="5" t="s">
        <v>49</v>
      </c>
      <c r="C501" s="5" t="s">
        <v>50</v>
      </c>
      <c r="D501" s="5" t="str">
        <f t="shared" si="19"/>
        <v>20220218001</v>
      </c>
      <c r="E501" s="5">
        <v>1</v>
      </c>
      <c r="F501" s="5" t="s">
        <v>14</v>
      </c>
      <c r="G501" s="5" t="str">
        <f>"孙珂珂"</f>
        <v>孙珂珂</v>
      </c>
      <c r="H501" s="5" t="str">
        <f>"112000528"</f>
        <v>112000528</v>
      </c>
      <c r="I501" s="5">
        <v>0</v>
      </c>
      <c r="J501" s="5" t="s">
        <v>15</v>
      </c>
    </row>
    <row r="502" s="1" customFormat="1" spans="1:10">
      <c r="A502" s="5">
        <v>499</v>
      </c>
      <c r="B502" s="5" t="s">
        <v>49</v>
      </c>
      <c r="C502" s="5" t="s">
        <v>50</v>
      </c>
      <c r="D502" s="5" t="str">
        <f t="shared" si="19"/>
        <v>20220218001</v>
      </c>
      <c r="E502" s="5">
        <v>1</v>
      </c>
      <c r="F502" s="5" t="s">
        <v>14</v>
      </c>
      <c r="G502" s="5" t="str">
        <f>"周明煜"</f>
        <v>周明煜</v>
      </c>
      <c r="H502" s="5" t="str">
        <f>"112001203"</f>
        <v>112001203</v>
      </c>
      <c r="I502" s="5">
        <v>0</v>
      </c>
      <c r="J502" s="5" t="s">
        <v>15</v>
      </c>
    </row>
    <row r="503" s="1" customFormat="1" spans="1:10">
      <c r="A503" s="5">
        <v>500</v>
      </c>
      <c r="B503" s="5" t="s">
        <v>49</v>
      </c>
      <c r="C503" s="5" t="s">
        <v>50</v>
      </c>
      <c r="D503" s="5" t="str">
        <f t="shared" si="19"/>
        <v>20220218001</v>
      </c>
      <c r="E503" s="5">
        <v>1</v>
      </c>
      <c r="F503" s="5" t="s">
        <v>14</v>
      </c>
      <c r="G503" s="5" t="str">
        <f>"兰宇飞"</f>
        <v>兰宇飞</v>
      </c>
      <c r="H503" s="5" t="str">
        <f>"112001215"</f>
        <v>112001215</v>
      </c>
      <c r="I503" s="5">
        <v>0</v>
      </c>
      <c r="J503" s="5" t="s">
        <v>15</v>
      </c>
    </row>
    <row r="504" s="1" customFormat="1" spans="1:10">
      <c r="A504" s="5">
        <v>501</v>
      </c>
      <c r="B504" s="5" t="s">
        <v>49</v>
      </c>
      <c r="C504" s="5" t="s">
        <v>50</v>
      </c>
      <c r="D504" s="5" t="str">
        <f t="shared" si="19"/>
        <v>20220218001</v>
      </c>
      <c r="E504" s="5">
        <v>1</v>
      </c>
      <c r="F504" s="5" t="s">
        <v>14</v>
      </c>
      <c r="G504" s="5" t="str">
        <f>"奂璐迪"</f>
        <v>奂璐迪</v>
      </c>
      <c r="H504" s="5" t="str">
        <f>"112001224"</f>
        <v>112001224</v>
      </c>
      <c r="I504" s="5">
        <v>0</v>
      </c>
      <c r="J504" s="5" t="s">
        <v>15</v>
      </c>
    </row>
    <row r="505" s="1" customFormat="1" spans="1:10">
      <c r="A505" s="5">
        <v>502</v>
      </c>
      <c r="B505" s="5" t="s">
        <v>49</v>
      </c>
      <c r="C505" s="5" t="s">
        <v>50</v>
      </c>
      <c r="D505" s="5" t="str">
        <f t="shared" si="19"/>
        <v>20220218001</v>
      </c>
      <c r="E505" s="5">
        <v>1</v>
      </c>
      <c r="F505" s="5" t="s">
        <v>14</v>
      </c>
      <c r="G505" s="5" t="str">
        <f>"喻寒莉"</f>
        <v>喻寒莉</v>
      </c>
      <c r="H505" s="5" t="str">
        <f>"112001307"</f>
        <v>112001307</v>
      </c>
      <c r="I505" s="5">
        <v>0</v>
      </c>
      <c r="J505" s="5" t="s">
        <v>15</v>
      </c>
    </row>
    <row r="506" s="1" customFormat="1" spans="1:10">
      <c r="A506" s="5">
        <v>503</v>
      </c>
      <c r="B506" s="5" t="s">
        <v>49</v>
      </c>
      <c r="C506" s="5" t="s">
        <v>50</v>
      </c>
      <c r="D506" s="5" t="str">
        <f t="shared" si="19"/>
        <v>20220218001</v>
      </c>
      <c r="E506" s="5">
        <v>1</v>
      </c>
      <c r="F506" s="5" t="s">
        <v>14</v>
      </c>
      <c r="G506" s="5" t="str">
        <f>"刘佳钰"</f>
        <v>刘佳钰</v>
      </c>
      <c r="H506" s="5" t="str">
        <f>"112001822"</f>
        <v>112001822</v>
      </c>
      <c r="I506" s="5">
        <v>0</v>
      </c>
      <c r="J506" s="5" t="s">
        <v>15</v>
      </c>
    </row>
    <row r="507" s="1" customFormat="1" spans="1:10">
      <c r="A507" s="5">
        <v>504</v>
      </c>
      <c r="B507" s="5" t="s">
        <v>49</v>
      </c>
      <c r="C507" s="5" t="s">
        <v>50</v>
      </c>
      <c r="D507" s="5" t="str">
        <f t="shared" si="19"/>
        <v>20220218001</v>
      </c>
      <c r="E507" s="5">
        <v>1</v>
      </c>
      <c r="F507" s="5" t="s">
        <v>14</v>
      </c>
      <c r="G507" s="5" t="str">
        <f>"徐维权"</f>
        <v>徐维权</v>
      </c>
      <c r="H507" s="5" t="str">
        <f>"112001827"</f>
        <v>112001827</v>
      </c>
      <c r="I507" s="5">
        <v>0</v>
      </c>
      <c r="J507" s="5" t="s">
        <v>15</v>
      </c>
    </row>
    <row r="508" s="1" customFormat="1" spans="1:10">
      <c r="A508" s="5">
        <v>505</v>
      </c>
      <c r="B508" s="5" t="s">
        <v>49</v>
      </c>
      <c r="C508" s="5" t="s">
        <v>50</v>
      </c>
      <c r="D508" s="5" t="str">
        <f t="shared" si="19"/>
        <v>20220218001</v>
      </c>
      <c r="E508" s="5">
        <v>1</v>
      </c>
      <c r="F508" s="5" t="s">
        <v>14</v>
      </c>
      <c r="G508" s="5" t="str">
        <f>"吴成玉"</f>
        <v>吴成玉</v>
      </c>
      <c r="H508" s="5" t="str">
        <f>"112001901"</f>
        <v>112001901</v>
      </c>
      <c r="I508" s="5">
        <v>0</v>
      </c>
      <c r="J508" s="5" t="s">
        <v>15</v>
      </c>
    </row>
    <row r="509" s="1" customFormat="1" spans="1:10">
      <c r="A509" s="5">
        <v>506</v>
      </c>
      <c r="B509" s="5" t="s">
        <v>49</v>
      </c>
      <c r="C509" s="5" t="s">
        <v>50</v>
      </c>
      <c r="D509" s="5" t="str">
        <f t="shared" si="19"/>
        <v>20220218001</v>
      </c>
      <c r="E509" s="5">
        <v>1</v>
      </c>
      <c r="F509" s="5" t="s">
        <v>14</v>
      </c>
      <c r="G509" s="5" t="str">
        <f>"余轲"</f>
        <v>余轲</v>
      </c>
      <c r="H509" s="5" t="str">
        <f>"112001920"</f>
        <v>112001920</v>
      </c>
      <c r="I509" s="5">
        <v>0</v>
      </c>
      <c r="J509" s="5" t="s">
        <v>15</v>
      </c>
    </row>
    <row r="510" s="1" customFormat="1" spans="1:10">
      <c r="A510" s="5">
        <v>507</v>
      </c>
      <c r="B510" s="5" t="s">
        <v>51</v>
      </c>
      <c r="C510" s="5" t="s">
        <v>52</v>
      </c>
      <c r="D510" s="5" t="str">
        <f t="shared" ref="D510:D522" si="20">"20220219001"</f>
        <v>20220219001</v>
      </c>
      <c r="E510" s="5">
        <v>1</v>
      </c>
      <c r="F510" s="5" t="s">
        <v>14</v>
      </c>
      <c r="G510" s="5" t="str">
        <f>"沈雪情"</f>
        <v>沈雪情</v>
      </c>
      <c r="H510" s="5" t="str">
        <f>"112000208"</f>
        <v>112000208</v>
      </c>
      <c r="I510" s="5">
        <v>101.6</v>
      </c>
      <c r="J510" s="5"/>
    </row>
    <row r="511" s="1" customFormat="1" spans="1:10">
      <c r="A511" s="5">
        <v>508</v>
      </c>
      <c r="B511" s="5" t="s">
        <v>51</v>
      </c>
      <c r="C511" s="5" t="s">
        <v>52</v>
      </c>
      <c r="D511" s="5" t="str">
        <f t="shared" si="20"/>
        <v>20220219001</v>
      </c>
      <c r="E511" s="5">
        <v>1</v>
      </c>
      <c r="F511" s="5" t="s">
        <v>14</v>
      </c>
      <c r="G511" s="5" t="str">
        <f>"李益艳"</f>
        <v>李益艳</v>
      </c>
      <c r="H511" s="5" t="str">
        <f>"112000614"</f>
        <v>112000614</v>
      </c>
      <c r="I511" s="5">
        <v>101.44</v>
      </c>
      <c r="J511" s="5"/>
    </row>
    <row r="512" s="1" customFormat="1" spans="1:10">
      <c r="A512" s="5">
        <v>509</v>
      </c>
      <c r="B512" s="5" t="s">
        <v>51</v>
      </c>
      <c r="C512" s="5" t="s">
        <v>52</v>
      </c>
      <c r="D512" s="5" t="str">
        <f t="shared" si="20"/>
        <v>20220219001</v>
      </c>
      <c r="E512" s="5">
        <v>1</v>
      </c>
      <c r="F512" s="5" t="s">
        <v>14</v>
      </c>
      <c r="G512" s="5" t="str">
        <f>"罗银"</f>
        <v>罗银</v>
      </c>
      <c r="H512" s="5" t="str">
        <f>"112000418"</f>
        <v>112000418</v>
      </c>
      <c r="I512" s="5">
        <v>98.88</v>
      </c>
      <c r="J512" s="5"/>
    </row>
    <row r="513" s="1" customFormat="1" spans="1:10">
      <c r="A513" s="5">
        <v>510</v>
      </c>
      <c r="B513" s="5" t="s">
        <v>51</v>
      </c>
      <c r="C513" s="5" t="s">
        <v>52</v>
      </c>
      <c r="D513" s="5" t="str">
        <f t="shared" si="20"/>
        <v>20220219001</v>
      </c>
      <c r="E513" s="5">
        <v>1</v>
      </c>
      <c r="F513" s="5" t="s">
        <v>14</v>
      </c>
      <c r="G513" s="5" t="str">
        <f>"邹月"</f>
        <v>邹月</v>
      </c>
      <c r="H513" s="5" t="str">
        <f>"112000622"</f>
        <v>112000622</v>
      </c>
      <c r="I513" s="5">
        <v>97.84</v>
      </c>
      <c r="J513" s="5"/>
    </row>
    <row r="514" s="1" customFormat="1" spans="1:10">
      <c r="A514" s="5">
        <v>511</v>
      </c>
      <c r="B514" s="5" t="s">
        <v>51</v>
      </c>
      <c r="C514" s="5" t="s">
        <v>52</v>
      </c>
      <c r="D514" s="5" t="str">
        <f t="shared" si="20"/>
        <v>20220219001</v>
      </c>
      <c r="E514" s="5">
        <v>1</v>
      </c>
      <c r="F514" s="5" t="s">
        <v>14</v>
      </c>
      <c r="G514" s="5" t="str">
        <f>"蒋傲洁"</f>
        <v>蒋傲洁</v>
      </c>
      <c r="H514" s="5" t="str">
        <f>"112000303"</f>
        <v>112000303</v>
      </c>
      <c r="I514" s="5">
        <v>90.04</v>
      </c>
      <c r="J514" s="5"/>
    </row>
    <row r="515" s="1" customFormat="1" spans="1:10">
      <c r="A515" s="5">
        <v>512</v>
      </c>
      <c r="B515" s="5" t="s">
        <v>51</v>
      </c>
      <c r="C515" s="5" t="s">
        <v>52</v>
      </c>
      <c r="D515" s="5" t="str">
        <f t="shared" si="20"/>
        <v>20220219001</v>
      </c>
      <c r="E515" s="5">
        <v>1</v>
      </c>
      <c r="F515" s="5" t="s">
        <v>14</v>
      </c>
      <c r="G515" s="5" t="str">
        <f>"黄宇"</f>
        <v>黄宇</v>
      </c>
      <c r="H515" s="5" t="str">
        <f>"112000918"</f>
        <v>112000918</v>
      </c>
      <c r="I515" s="5">
        <v>77.24</v>
      </c>
      <c r="J515" s="5"/>
    </row>
    <row r="516" s="1" customFormat="1" spans="1:10">
      <c r="A516" s="5">
        <v>513</v>
      </c>
      <c r="B516" s="5" t="s">
        <v>51</v>
      </c>
      <c r="C516" s="5" t="s">
        <v>52</v>
      </c>
      <c r="D516" s="5" t="str">
        <f t="shared" si="20"/>
        <v>20220219001</v>
      </c>
      <c r="E516" s="5">
        <v>1</v>
      </c>
      <c r="F516" s="5" t="s">
        <v>14</v>
      </c>
      <c r="G516" s="5" t="str">
        <f>"覃真塍"</f>
        <v>覃真塍</v>
      </c>
      <c r="H516" s="5" t="str">
        <f>"112000606"</f>
        <v>112000606</v>
      </c>
      <c r="I516" s="5">
        <v>0</v>
      </c>
      <c r="J516" s="5" t="s">
        <v>15</v>
      </c>
    </row>
    <row r="517" s="1" customFormat="1" spans="1:10">
      <c r="A517" s="5">
        <v>514</v>
      </c>
      <c r="B517" s="5" t="s">
        <v>51</v>
      </c>
      <c r="C517" s="5" t="s">
        <v>52</v>
      </c>
      <c r="D517" s="5" t="str">
        <f t="shared" si="20"/>
        <v>20220219001</v>
      </c>
      <c r="E517" s="5">
        <v>1</v>
      </c>
      <c r="F517" s="5" t="s">
        <v>14</v>
      </c>
      <c r="G517" s="5" t="str">
        <f>"陈博源"</f>
        <v>陈博源</v>
      </c>
      <c r="H517" s="5" t="str">
        <f>"112000920"</f>
        <v>112000920</v>
      </c>
      <c r="I517" s="5">
        <v>0</v>
      </c>
      <c r="J517" s="5" t="s">
        <v>15</v>
      </c>
    </row>
    <row r="518" s="1" customFormat="1" spans="1:10">
      <c r="A518" s="5">
        <v>515</v>
      </c>
      <c r="B518" s="5" t="s">
        <v>51</v>
      </c>
      <c r="C518" s="5" t="s">
        <v>52</v>
      </c>
      <c r="D518" s="5" t="str">
        <f t="shared" si="20"/>
        <v>20220219001</v>
      </c>
      <c r="E518" s="5">
        <v>1</v>
      </c>
      <c r="F518" s="5" t="s">
        <v>14</v>
      </c>
      <c r="G518" s="5" t="str">
        <f>"曹鹤"</f>
        <v>曹鹤</v>
      </c>
      <c r="H518" s="5" t="str">
        <f>"112001023"</f>
        <v>112001023</v>
      </c>
      <c r="I518" s="5">
        <v>0</v>
      </c>
      <c r="J518" s="5" t="s">
        <v>15</v>
      </c>
    </row>
    <row r="519" s="1" customFormat="1" spans="1:10">
      <c r="A519" s="5">
        <v>516</v>
      </c>
      <c r="B519" s="5" t="s">
        <v>51</v>
      </c>
      <c r="C519" s="5" t="s">
        <v>52</v>
      </c>
      <c r="D519" s="5" t="str">
        <f t="shared" si="20"/>
        <v>20220219001</v>
      </c>
      <c r="E519" s="5">
        <v>1</v>
      </c>
      <c r="F519" s="5" t="s">
        <v>14</v>
      </c>
      <c r="G519" s="5" t="str">
        <f>"江文雯"</f>
        <v>江文雯</v>
      </c>
      <c r="H519" s="5" t="str">
        <f>"112001118"</f>
        <v>112001118</v>
      </c>
      <c r="I519" s="5">
        <v>0</v>
      </c>
      <c r="J519" s="5" t="s">
        <v>15</v>
      </c>
    </row>
    <row r="520" s="1" customFormat="1" spans="1:10">
      <c r="A520" s="5">
        <v>517</v>
      </c>
      <c r="B520" s="5" t="s">
        <v>51</v>
      </c>
      <c r="C520" s="5" t="s">
        <v>52</v>
      </c>
      <c r="D520" s="5" t="str">
        <f t="shared" si="20"/>
        <v>20220219001</v>
      </c>
      <c r="E520" s="5">
        <v>1</v>
      </c>
      <c r="F520" s="5" t="s">
        <v>14</v>
      </c>
      <c r="G520" s="5" t="str">
        <f>"王帅帅"</f>
        <v>王帅帅</v>
      </c>
      <c r="H520" s="5" t="str">
        <f>"112001225"</f>
        <v>112001225</v>
      </c>
      <c r="I520" s="5">
        <v>0</v>
      </c>
      <c r="J520" s="5" t="s">
        <v>15</v>
      </c>
    </row>
    <row r="521" s="1" customFormat="1" spans="1:10">
      <c r="A521" s="5">
        <v>518</v>
      </c>
      <c r="B521" s="5" t="s">
        <v>51</v>
      </c>
      <c r="C521" s="5" t="s">
        <v>52</v>
      </c>
      <c r="D521" s="5" t="str">
        <f t="shared" si="20"/>
        <v>20220219001</v>
      </c>
      <c r="E521" s="5">
        <v>1</v>
      </c>
      <c r="F521" s="5" t="s">
        <v>14</v>
      </c>
      <c r="G521" s="5" t="str">
        <f>"许林青"</f>
        <v>许林青</v>
      </c>
      <c r="H521" s="5" t="str">
        <f>"112001619"</f>
        <v>112001619</v>
      </c>
      <c r="I521" s="5">
        <v>0</v>
      </c>
      <c r="J521" s="5" t="s">
        <v>15</v>
      </c>
    </row>
    <row r="522" s="1" customFormat="1" spans="1:10">
      <c r="A522" s="5">
        <v>519</v>
      </c>
      <c r="B522" s="5" t="s">
        <v>51</v>
      </c>
      <c r="C522" s="5" t="s">
        <v>52</v>
      </c>
      <c r="D522" s="5" t="str">
        <f t="shared" si="20"/>
        <v>20220219001</v>
      </c>
      <c r="E522" s="5">
        <v>1</v>
      </c>
      <c r="F522" s="5" t="s">
        <v>14</v>
      </c>
      <c r="G522" s="5" t="str">
        <f>"徐亚栋"</f>
        <v>徐亚栋</v>
      </c>
      <c r="H522" s="5" t="str">
        <f>"112001726"</f>
        <v>112001726</v>
      </c>
      <c r="I522" s="5">
        <v>0</v>
      </c>
      <c r="J522" s="5" t="s">
        <v>15</v>
      </c>
    </row>
    <row r="523" s="1" customFormat="1" spans="1:10">
      <c r="A523" s="5">
        <v>520</v>
      </c>
      <c r="B523" s="5" t="s">
        <v>53</v>
      </c>
      <c r="C523" s="5" t="s">
        <v>54</v>
      </c>
      <c r="D523" s="5" t="str">
        <f t="shared" ref="D523:D537" si="21">"20220220001"</f>
        <v>20220220001</v>
      </c>
      <c r="E523" s="5">
        <v>1</v>
      </c>
      <c r="F523" s="5" t="s">
        <v>14</v>
      </c>
      <c r="G523" s="5" t="str">
        <f>"曾龙龙"</f>
        <v>曾龙龙</v>
      </c>
      <c r="H523" s="5" t="str">
        <f>"112000409"</f>
        <v>112000409</v>
      </c>
      <c r="I523" s="5">
        <v>100.24</v>
      </c>
      <c r="J523" s="5"/>
    </row>
    <row r="524" s="1" customFormat="1" spans="1:10">
      <c r="A524" s="5">
        <v>521</v>
      </c>
      <c r="B524" s="5" t="s">
        <v>53</v>
      </c>
      <c r="C524" s="5" t="s">
        <v>54</v>
      </c>
      <c r="D524" s="5" t="str">
        <f t="shared" si="21"/>
        <v>20220220001</v>
      </c>
      <c r="E524" s="5">
        <v>1</v>
      </c>
      <c r="F524" s="5" t="s">
        <v>14</v>
      </c>
      <c r="G524" s="5" t="str">
        <f>"陈东东"</f>
        <v>陈东东</v>
      </c>
      <c r="H524" s="5" t="str">
        <f>"112001205"</f>
        <v>112001205</v>
      </c>
      <c r="I524" s="5">
        <v>92.76</v>
      </c>
      <c r="J524" s="5"/>
    </row>
    <row r="525" s="1" customFormat="1" spans="1:10">
      <c r="A525" s="5">
        <v>522</v>
      </c>
      <c r="B525" s="5" t="s">
        <v>53</v>
      </c>
      <c r="C525" s="5" t="s">
        <v>54</v>
      </c>
      <c r="D525" s="5" t="str">
        <f t="shared" si="21"/>
        <v>20220220001</v>
      </c>
      <c r="E525" s="5">
        <v>1</v>
      </c>
      <c r="F525" s="5" t="s">
        <v>14</v>
      </c>
      <c r="G525" s="5" t="str">
        <f>"李瑶"</f>
        <v>李瑶</v>
      </c>
      <c r="H525" s="5" t="str">
        <f>"112001818"</f>
        <v>112001818</v>
      </c>
      <c r="I525" s="5">
        <v>90.56</v>
      </c>
      <c r="J525" s="5"/>
    </row>
    <row r="526" s="1" customFormat="1" spans="1:10">
      <c r="A526" s="5">
        <v>523</v>
      </c>
      <c r="B526" s="5" t="s">
        <v>53</v>
      </c>
      <c r="C526" s="5" t="s">
        <v>54</v>
      </c>
      <c r="D526" s="5" t="str">
        <f t="shared" si="21"/>
        <v>20220220001</v>
      </c>
      <c r="E526" s="5">
        <v>1</v>
      </c>
      <c r="F526" s="5" t="s">
        <v>14</v>
      </c>
      <c r="G526" s="5" t="str">
        <f>"吴娇"</f>
        <v>吴娇</v>
      </c>
      <c r="H526" s="5" t="str">
        <f>"112000929"</f>
        <v>112000929</v>
      </c>
      <c r="I526" s="5">
        <v>86.88</v>
      </c>
      <c r="J526" s="5"/>
    </row>
    <row r="527" s="1" customFormat="1" spans="1:10">
      <c r="A527" s="5">
        <v>524</v>
      </c>
      <c r="B527" s="5" t="s">
        <v>53</v>
      </c>
      <c r="C527" s="5" t="s">
        <v>54</v>
      </c>
      <c r="D527" s="5" t="str">
        <f t="shared" si="21"/>
        <v>20220220001</v>
      </c>
      <c r="E527" s="5">
        <v>1</v>
      </c>
      <c r="F527" s="5" t="s">
        <v>14</v>
      </c>
      <c r="G527" s="5" t="str">
        <f>"李学晶"</f>
        <v>李学晶</v>
      </c>
      <c r="H527" s="5" t="str">
        <f>"112000118"</f>
        <v>112000118</v>
      </c>
      <c r="I527" s="5">
        <v>0</v>
      </c>
      <c r="J527" s="5" t="s">
        <v>15</v>
      </c>
    </row>
    <row r="528" s="1" customFormat="1" spans="1:10">
      <c r="A528" s="5">
        <v>525</v>
      </c>
      <c r="B528" s="5" t="s">
        <v>53</v>
      </c>
      <c r="C528" s="5" t="s">
        <v>54</v>
      </c>
      <c r="D528" s="5" t="str">
        <f t="shared" si="21"/>
        <v>20220220001</v>
      </c>
      <c r="E528" s="5">
        <v>1</v>
      </c>
      <c r="F528" s="5" t="s">
        <v>14</v>
      </c>
      <c r="G528" s="5" t="str">
        <f>"黄乐"</f>
        <v>黄乐</v>
      </c>
      <c r="H528" s="5" t="str">
        <f>"112000204"</f>
        <v>112000204</v>
      </c>
      <c r="I528" s="5">
        <v>0</v>
      </c>
      <c r="J528" s="5" t="s">
        <v>15</v>
      </c>
    </row>
    <row r="529" s="1" customFormat="1" spans="1:10">
      <c r="A529" s="5">
        <v>526</v>
      </c>
      <c r="B529" s="5" t="s">
        <v>53</v>
      </c>
      <c r="C529" s="5" t="s">
        <v>54</v>
      </c>
      <c r="D529" s="5" t="str">
        <f t="shared" si="21"/>
        <v>20220220001</v>
      </c>
      <c r="E529" s="5">
        <v>1</v>
      </c>
      <c r="F529" s="5" t="s">
        <v>14</v>
      </c>
      <c r="G529" s="5" t="str">
        <f>"黄慧子"</f>
        <v>黄慧子</v>
      </c>
      <c r="H529" s="5" t="str">
        <f>"112000329"</f>
        <v>112000329</v>
      </c>
      <c r="I529" s="5">
        <v>0</v>
      </c>
      <c r="J529" s="5" t="s">
        <v>15</v>
      </c>
    </row>
    <row r="530" s="1" customFormat="1" spans="1:10">
      <c r="A530" s="5">
        <v>527</v>
      </c>
      <c r="B530" s="5" t="s">
        <v>53</v>
      </c>
      <c r="C530" s="5" t="s">
        <v>54</v>
      </c>
      <c r="D530" s="5" t="str">
        <f t="shared" si="21"/>
        <v>20220220001</v>
      </c>
      <c r="E530" s="5">
        <v>1</v>
      </c>
      <c r="F530" s="5" t="s">
        <v>14</v>
      </c>
      <c r="G530" s="5" t="str">
        <f>"王伟刚"</f>
        <v>王伟刚</v>
      </c>
      <c r="H530" s="5" t="str">
        <f>"112000624"</f>
        <v>112000624</v>
      </c>
      <c r="I530" s="5">
        <v>0</v>
      </c>
      <c r="J530" s="5" t="s">
        <v>15</v>
      </c>
    </row>
    <row r="531" s="1" customFormat="1" spans="1:10">
      <c r="A531" s="5">
        <v>528</v>
      </c>
      <c r="B531" s="5" t="s">
        <v>53</v>
      </c>
      <c r="C531" s="5" t="s">
        <v>54</v>
      </c>
      <c r="D531" s="5" t="str">
        <f t="shared" si="21"/>
        <v>20220220001</v>
      </c>
      <c r="E531" s="5">
        <v>1</v>
      </c>
      <c r="F531" s="5" t="s">
        <v>14</v>
      </c>
      <c r="G531" s="5" t="str">
        <f>"阮曼"</f>
        <v>阮曼</v>
      </c>
      <c r="H531" s="5" t="str">
        <f>"112001006"</f>
        <v>112001006</v>
      </c>
      <c r="I531" s="5">
        <v>0</v>
      </c>
      <c r="J531" s="5" t="s">
        <v>15</v>
      </c>
    </row>
    <row r="532" s="1" customFormat="1" spans="1:10">
      <c r="A532" s="5">
        <v>529</v>
      </c>
      <c r="B532" s="5" t="s">
        <v>53</v>
      </c>
      <c r="C532" s="5" t="s">
        <v>54</v>
      </c>
      <c r="D532" s="5" t="str">
        <f t="shared" si="21"/>
        <v>20220220001</v>
      </c>
      <c r="E532" s="5">
        <v>1</v>
      </c>
      <c r="F532" s="5" t="s">
        <v>14</v>
      </c>
      <c r="G532" s="5" t="str">
        <f>"王志伟"</f>
        <v>王志伟</v>
      </c>
      <c r="H532" s="5" t="str">
        <f>"112001506"</f>
        <v>112001506</v>
      </c>
      <c r="I532" s="5">
        <v>0</v>
      </c>
      <c r="J532" s="5" t="s">
        <v>15</v>
      </c>
    </row>
    <row r="533" s="1" customFormat="1" spans="1:10">
      <c r="A533" s="5">
        <v>530</v>
      </c>
      <c r="B533" s="5" t="s">
        <v>53</v>
      </c>
      <c r="C533" s="5" t="s">
        <v>54</v>
      </c>
      <c r="D533" s="5" t="str">
        <f t="shared" si="21"/>
        <v>20220220001</v>
      </c>
      <c r="E533" s="5">
        <v>1</v>
      </c>
      <c r="F533" s="5" t="s">
        <v>14</v>
      </c>
      <c r="G533" s="5" t="str">
        <f>"林小华"</f>
        <v>林小华</v>
      </c>
      <c r="H533" s="5" t="str">
        <f>"112001507"</f>
        <v>112001507</v>
      </c>
      <c r="I533" s="5">
        <v>0</v>
      </c>
      <c r="J533" s="5" t="s">
        <v>15</v>
      </c>
    </row>
    <row r="534" s="1" customFormat="1" spans="1:10">
      <c r="A534" s="5">
        <v>531</v>
      </c>
      <c r="B534" s="5" t="s">
        <v>53</v>
      </c>
      <c r="C534" s="5" t="s">
        <v>54</v>
      </c>
      <c r="D534" s="5" t="str">
        <f t="shared" si="21"/>
        <v>20220220001</v>
      </c>
      <c r="E534" s="5">
        <v>1</v>
      </c>
      <c r="F534" s="5" t="s">
        <v>14</v>
      </c>
      <c r="G534" s="5" t="str">
        <f>"王剑"</f>
        <v>王剑</v>
      </c>
      <c r="H534" s="5" t="str">
        <f>"112001705"</f>
        <v>112001705</v>
      </c>
      <c r="I534" s="5">
        <v>0</v>
      </c>
      <c r="J534" s="5" t="s">
        <v>15</v>
      </c>
    </row>
    <row r="535" s="1" customFormat="1" spans="1:10">
      <c r="A535" s="5">
        <v>532</v>
      </c>
      <c r="B535" s="5" t="s">
        <v>53</v>
      </c>
      <c r="C535" s="5" t="s">
        <v>54</v>
      </c>
      <c r="D535" s="5" t="str">
        <f t="shared" si="21"/>
        <v>20220220001</v>
      </c>
      <c r="E535" s="5">
        <v>1</v>
      </c>
      <c r="F535" s="5" t="s">
        <v>14</v>
      </c>
      <c r="G535" s="5" t="str">
        <f>"彭文情"</f>
        <v>彭文情</v>
      </c>
      <c r="H535" s="5" t="str">
        <f>"112001711"</f>
        <v>112001711</v>
      </c>
      <c r="I535" s="5">
        <v>0</v>
      </c>
      <c r="J535" s="5" t="s">
        <v>15</v>
      </c>
    </row>
    <row r="536" s="1" customFormat="1" spans="1:10">
      <c r="A536" s="5">
        <v>533</v>
      </c>
      <c r="B536" s="5" t="s">
        <v>53</v>
      </c>
      <c r="C536" s="5" t="s">
        <v>54</v>
      </c>
      <c r="D536" s="5" t="str">
        <f t="shared" si="21"/>
        <v>20220220001</v>
      </c>
      <c r="E536" s="5">
        <v>1</v>
      </c>
      <c r="F536" s="5" t="s">
        <v>14</v>
      </c>
      <c r="G536" s="5" t="str">
        <f>"李金成"</f>
        <v>李金成</v>
      </c>
      <c r="H536" s="5" t="str">
        <f>"112001808"</f>
        <v>112001808</v>
      </c>
      <c r="I536" s="5">
        <v>0</v>
      </c>
      <c r="J536" s="5" t="s">
        <v>15</v>
      </c>
    </row>
    <row r="537" s="1" customFormat="1" spans="1:10">
      <c r="A537" s="5">
        <v>534</v>
      </c>
      <c r="B537" s="5" t="s">
        <v>53</v>
      </c>
      <c r="C537" s="5" t="s">
        <v>54</v>
      </c>
      <c r="D537" s="5" t="str">
        <f t="shared" si="21"/>
        <v>20220220001</v>
      </c>
      <c r="E537" s="5">
        <v>1</v>
      </c>
      <c r="F537" s="5" t="s">
        <v>14</v>
      </c>
      <c r="G537" s="5" t="str">
        <f>"雷其冬"</f>
        <v>雷其冬</v>
      </c>
      <c r="H537" s="5" t="str">
        <f>"112001825"</f>
        <v>112001825</v>
      </c>
      <c r="I537" s="5">
        <v>0</v>
      </c>
      <c r="J537" s="5" t="s">
        <v>15</v>
      </c>
    </row>
    <row r="538" s="1" customFormat="1" spans="1:10">
      <c r="A538" s="5">
        <v>535</v>
      </c>
      <c r="B538" s="5" t="s">
        <v>28</v>
      </c>
      <c r="C538" s="5" t="s">
        <v>55</v>
      </c>
      <c r="D538" s="5" t="str">
        <f t="shared" ref="D538:D543" si="22">"20220221001"</f>
        <v>20220221001</v>
      </c>
      <c r="E538" s="5">
        <v>3</v>
      </c>
      <c r="F538" s="5" t="s">
        <v>56</v>
      </c>
      <c r="G538" s="5" t="str">
        <f>"胡雪"</f>
        <v>胡雪</v>
      </c>
      <c r="H538" s="5" t="str">
        <f>"112001917"</f>
        <v>112001917</v>
      </c>
      <c r="I538" s="5">
        <v>77.24</v>
      </c>
      <c r="J538" s="5"/>
    </row>
    <row r="539" s="1" customFormat="1" spans="1:10">
      <c r="A539" s="5">
        <v>536</v>
      </c>
      <c r="B539" s="5" t="s">
        <v>28</v>
      </c>
      <c r="C539" s="5" t="s">
        <v>55</v>
      </c>
      <c r="D539" s="5" t="str">
        <f t="shared" si="22"/>
        <v>20220221001</v>
      </c>
      <c r="E539" s="5">
        <v>3</v>
      </c>
      <c r="F539" s="5" t="s">
        <v>56</v>
      </c>
      <c r="G539" s="5" t="str">
        <f>"李少军"</f>
        <v>李少军</v>
      </c>
      <c r="H539" s="5" t="str">
        <f>"112000812"</f>
        <v>112000812</v>
      </c>
      <c r="I539" s="5">
        <v>68.12</v>
      </c>
      <c r="J539" s="5"/>
    </row>
    <row r="540" s="1" customFormat="1" spans="1:10">
      <c r="A540" s="5">
        <v>537</v>
      </c>
      <c r="B540" s="5" t="s">
        <v>28</v>
      </c>
      <c r="C540" s="5" t="s">
        <v>55</v>
      </c>
      <c r="D540" s="5" t="str">
        <f t="shared" si="22"/>
        <v>20220221001</v>
      </c>
      <c r="E540" s="5">
        <v>3</v>
      </c>
      <c r="F540" s="5" t="s">
        <v>56</v>
      </c>
      <c r="G540" s="5" t="str">
        <f>"魏海荣"</f>
        <v>魏海荣</v>
      </c>
      <c r="H540" s="5" t="str">
        <f>"112000217"</f>
        <v>112000217</v>
      </c>
      <c r="I540" s="5">
        <v>66.44</v>
      </c>
      <c r="J540" s="5"/>
    </row>
    <row r="541" s="1" customFormat="1" spans="1:10">
      <c r="A541" s="5">
        <v>538</v>
      </c>
      <c r="B541" s="5" t="s">
        <v>28</v>
      </c>
      <c r="C541" s="5" t="s">
        <v>55</v>
      </c>
      <c r="D541" s="5" t="str">
        <f t="shared" si="22"/>
        <v>20220221001</v>
      </c>
      <c r="E541" s="5">
        <v>3</v>
      </c>
      <c r="F541" s="5" t="s">
        <v>56</v>
      </c>
      <c r="G541" s="5" t="str">
        <f>"胡霞"</f>
        <v>胡霞</v>
      </c>
      <c r="H541" s="5" t="str">
        <f>"112001214"</f>
        <v>112001214</v>
      </c>
      <c r="I541" s="5">
        <v>64.84</v>
      </c>
      <c r="J541" s="5"/>
    </row>
    <row r="542" s="1" customFormat="1" spans="1:10">
      <c r="A542" s="5">
        <v>539</v>
      </c>
      <c r="B542" s="5" t="s">
        <v>28</v>
      </c>
      <c r="C542" s="5" t="s">
        <v>55</v>
      </c>
      <c r="D542" s="5" t="str">
        <f t="shared" si="22"/>
        <v>20220221001</v>
      </c>
      <c r="E542" s="5">
        <v>3</v>
      </c>
      <c r="F542" s="5" t="s">
        <v>56</v>
      </c>
      <c r="G542" s="5" t="str">
        <f>"曾彩娇"</f>
        <v>曾彩娇</v>
      </c>
      <c r="H542" s="5" t="str">
        <f>"112001727"</f>
        <v>112001727</v>
      </c>
      <c r="I542" s="5">
        <v>0</v>
      </c>
      <c r="J542" s="5" t="s">
        <v>15</v>
      </c>
    </row>
    <row r="543" s="1" customFormat="1" ht="28.8" spans="1:10">
      <c r="A543" s="5">
        <v>540</v>
      </c>
      <c r="B543" s="5" t="s">
        <v>28</v>
      </c>
      <c r="C543" s="5" t="s">
        <v>55</v>
      </c>
      <c r="D543" s="5" t="str">
        <f t="shared" si="22"/>
        <v>20220221001</v>
      </c>
      <c r="E543" s="5">
        <v>3</v>
      </c>
      <c r="F543" s="5" t="s">
        <v>56</v>
      </c>
      <c r="G543" s="5" t="str">
        <f>"朱晶晶"</f>
        <v>朱晶晶</v>
      </c>
      <c r="H543" s="5" t="str">
        <f>"112000322"</f>
        <v>112000322</v>
      </c>
      <c r="I543" s="7">
        <v>0</v>
      </c>
      <c r="J543" s="8" t="s">
        <v>57</v>
      </c>
    </row>
    <row r="544" s="1" customFormat="1" spans="1:10">
      <c r="A544" s="5">
        <v>541</v>
      </c>
      <c r="B544" s="5" t="s">
        <v>28</v>
      </c>
      <c r="C544" s="5" t="s">
        <v>55</v>
      </c>
      <c r="D544" s="5" t="str">
        <f>"20220221003"</f>
        <v>20220221003</v>
      </c>
      <c r="E544" s="5">
        <v>1</v>
      </c>
      <c r="F544" s="5" t="s">
        <v>58</v>
      </c>
      <c r="G544" s="5" t="str">
        <f>"程铖"</f>
        <v>程铖</v>
      </c>
      <c r="H544" s="5" t="str">
        <f>"112000420"</f>
        <v>112000420</v>
      </c>
      <c r="I544" s="5">
        <v>91.44</v>
      </c>
      <c r="J544" s="5"/>
    </row>
  </sheetData>
  <autoFilter ref="A3:J544">
    <extLst/>
  </autoFilter>
  <mergeCells count="2">
    <mergeCell ref="A1:B1"/>
    <mergeCell ref="A2:J2"/>
  </mergeCells>
  <printOptions horizontalCentered="1"/>
  <pageMargins left="0.393055555555556" right="0.393055555555556" top="0.393055555555556" bottom="0.393055555555556" header="0.298611111111111" footer="0.298611111111111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璇子</cp:lastModifiedBy>
  <dcterms:created xsi:type="dcterms:W3CDTF">2022-11-20T14:09:00Z</dcterms:created>
  <dcterms:modified xsi:type="dcterms:W3CDTF">2022-11-21T01:51:18Z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02843F100E2548BF8280966A6A7090EB</vt:lpwstr>
  </property>
  <property fmtid="{D5CDD505-2E9C-101B-9397-08002B2CF9AE}" pid="3" name="KSOProductBuildVer">
    <vt:lpwstr>2052-11.1.0.12763</vt:lpwstr>
  </property>
</Properties>
</file>